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465" i="1"/>
  <c r="U465"/>
  <c r="V464"/>
  <c r="U464"/>
  <c r="V463"/>
  <c r="U463"/>
  <c r="V462"/>
  <c r="U462"/>
  <c r="V461"/>
  <c r="U461"/>
  <c r="V460"/>
  <c r="U460"/>
  <c r="V459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U424"/>
  <c r="V423"/>
  <c r="U423"/>
  <c r="V422"/>
  <c r="U422"/>
  <c r="V421"/>
  <c r="U421"/>
  <c r="V420"/>
  <c r="U420"/>
  <c r="V419"/>
  <c r="U419"/>
  <c r="V418"/>
  <c r="U418"/>
  <c r="U417"/>
  <c r="V416"/>
  <c r="U416"/>
  <c r="V415"/>
  <c r="U415"/>
  <c r="U414"/>
  <c r="U413"/>
  <c r="V412"/>
  <c r="U412"/>
  <c r="V411"/>
  <c r="U411"/>
  <c r="V410"/>
  <c r="U410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U363"/>
  <c r="U362"/>
  <c r="V361"/>
  <c r="U361"/>
  <c r="V360"/>
  <c r="U360"/>
  <c r="V359"/>
  <c r="U359"/>
  <c r="V358"/>
  <c r="U358"/>
  <c r="V357"/>
  <c r="U357"/>
  <c r="V356"/>
  <c r="U356"/>
  <c r="U355"/>
  <c r="V354"/>
  <c r="U354"/>
  <c r="V353"/>
  <c r="V352"/>
  <c r="U352"/>
  <c r="V351"/>
  <c r="U351"/>
  <c r="V350"/>
  <c r="U350"/>
  <c r="V349"/>
  <c r="U349"/>
  <c r="V348"/>
  <c r="U348"/>
  <c r="V347"/>
  <c r="U347"/>
  <c r="V346"/>
  <c r="U346"/>
  <c r="U345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U301"/>
  <c r="V300"/>
  <c r="U300"/>
  <c r="V299"/>
  <c r="U299"/>
  <c r="V298"/>
  <c r="U298"/>
  <c r="V297"/>
  <c r="U297"/>
  <c r="V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U234"/>
  <c r="V233"/>
  <c r="U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U161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<sst xmlns="http://schemas.openxmlformats.org/spreadsheetml/2006/main" count="7984" uniqueCount="3674">
  <si>
    <t>ИНФРА-М Научно-издательский Центр</t>
  </si>
  <si>
    <t>06. Маркетинг, реклама, сервис, туризм (для учебных заведений и библиотек)
от 31.10.2023</t>
  </si>
  <si>
    <t>Данный прайс-лист не является публичной офертой</t>
  </si>
  <si>
    <t>127214, Москва г, Полярная ул, дом № 31 В, строение 1 эт.3 пом.I.к.9Б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</si>
  <si>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</si>
  <si>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</si>
  <si>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</si>
  <si>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</si>
  <si>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</si>
  <si>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</si>
  <si>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</si>
  <si>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</si>
  <si>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</si>
  <si>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</si>
  <si>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</si>
  <si>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</si>
  <si>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</si>
  <si>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</si>
  <si>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</si>
  <si>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</si>
  <si>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</si>
  <si>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</si>
  <si>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</si>
  <si>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</si>
  <si>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</si>
  <si>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znanium.com</t>
  </si>
  <si>
    <t>Обложка</t>
  </si>
  <si>
    <t>ЭБС Znanium.com</t>
  </si>
  <si>
    <t>Аффилиация автора</t>
  </si>
  <si>
    <t>Новинка месяца</t>
  </si>
  <si>
    <t>ПООП</t>
  </si>
  <si>
    <t>К</t>
  </si>
  <si>
    <t>Ш</t>
  </si>
  <si>
    <t>156050.11.01</t>
  </si>
  <si>
    <t>GR для эффективного бизнеса: Уч.пос. / А.Б.Шатилов-М.:НИЦ ИНФРА-М,2024.-143 с..-(ВО: Магистратура)</t>
  </si>
  <si>
    <t>GR ДЛЯ ЭФФЕКТИВНОГО БИЗНЕСА</t>
  </si>
  <si>
    <t>Шатилов А.Б., Никитин А.С.</t>
  </si>
  <si>
    <t>Переплет 7БЦ/Без шитья</t>
  </si>
  <si>
    <t>НИЦ ИНФРА-М</t>
  </si>
  <si>
    <t>Высшее образование: Магистратура</t>
  </si>
  <si>
    <t>978-5-16-017576-8</t>
  </si>
  <si>
    <t>ОБЩЕСТВЕННЫЕ НАУКИ.  ЭКОНОМИКА. ПРАВО</t>
  </si>
  <si>
    <t>Бизнес</t>
  </si>
  <si>
    <t>Учебное пособие</t>
  </si>
  <si>
    <t>Профессиональное образование / ВО - Магистратура</t>
  </si>
  <si>
    <t>38.04.02, 38.04.03, 38.04.04, 38.03.02, 38.03.04, 44.03.05</t>
  </si>
  <si>
    <t>Финансовый университет при Правительстве Российской Федерации</t>
  </si>
  <si>
    <t>0111</t>
  </si>
  <si>
    <t>682803.03.01</t>
  </si>
  <si>
    <t>PR в сфере коммерции: Уч. / Под ред. Синяева И.М. - М.:Вуз.уч., НИЦ ИНФРА-М,2024 - 298 с.(СПО)(П)</t>
  </si>
  <si>
    <t>PR В СФЕРЕ КОММЕРЦИИ</t>
  </si>
  <si>
    <t>Синяева И.М.</t>
  </si>
  <si>
    <t>Вузовский учебник</t>
  </si>
  <si>
    <t>Среднее профессиональное образование</t>
  </si>
  <si>
    <t>978-5-9558-0614-3</t>
  </si>
  <si>
    <t>Учебник</t>
  </si>
  <si>
    <t>Профессиональное образование / Среднее профессиональное образование</t>
  </si>
  <si>
    <t>38.02.04, 42.02.01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</si>
  <si>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</si>
  <si>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ДА</t>
  </si>
  <si>
    <t>32</t>
  </si>
  <si>
    <t>0118</t>
  </si>
  <si>
    <t>682804.07.01</t>
  </si>
  <si>
    <t>PR: методы работы со СМИ: Уч.пос. / Б.Р.Мандель - 2 изд. - М.:Вуз. уч., НИЦ ИНФРА-М,2023-238с.(СПО) (П)</t>
  </si>
  <si>
    <t>PR: МЕТОДЫ РАБОТЫ СО СРЕДСТВАМИ МАССОВОЙ ИНФОРМАЦИИ, ИЗД.2</t>
  </si>
  <si>
    <t>Мандель Б.Р.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</si>
  <si>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</si>
  <si>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</si>
  <si>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</si>
  <si>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</si>
  <si>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0218</t>
  </si>
  <si>
    <t>102800.14.01</t>
  </si>
  <si>
    <t>PR: методы работы со СМИ: Уч.пос. / Б.Р.Мандель - 2 изд. - М.:Вуз.уч.,НИЦ ИНФРА-М,2023-238с.(ВО)(П)</t>
  </si>
  <si>
    <t>Высшее образование: Бакалавриат</t>
  </si>
  <si>
    <t>978-5-9558-0556-6</t>
  </si>
  <si>
    <t>Профессиональное образование / ВО - Бакалавриат</t>
  </si>
  <si>
    <t>42.03.02, 42.03.01, 42.04.02, 41.03.06</t>
  </si>
  <si>
    <t>Для студентов высших учебных заведений, занимающихся по специальностям «Связи с общественностью», «Журналистика» (специалисты, бакалавры, магистры)</t>
  </si>
  <si>
    <t>0217</t>
  </si>
  <si>
    <t>417400.12.01</t>
  </si>
  <si>
    <t>Авиатранспортный маркетинг: Уч. / Е.В.Костромина, - 2 изд.-М.:НИЦ ИНФРА-М,2024.-360 с.(ВО: Бакалавр.)(П)</t>
  </si>
  <si>
    <t>АВИАТРАНСПОРТНЫЙ МАРКЕТИНГ, ИЗД.2</t>
  </si>
  <si>
    <t>Костромина Е.В.</t>
  </si>
  <si>
    <t>978-5-16-006252-5</t>
  </si>
  <si>
    <t>38.02.04, 38.02.01, 38.02.03, 38.04.01, 38.04.02, 38.03.01, 38.03.02, 44.03.01, 44.03.05</t>
  </si>
  <si>
    <t>Рекомендовано в качестве учебника для студентов высших учебных заведений, обучающихся по направлению подготовки 38.03.01 «Экономика» (квалификация (степень) «бакалавр»)</t>
  </si>
  <si>
    <t>Национальный исследовательский университет "Высшая школа экономики"</t>
  </si>
  <si>
    <t>0212</t>
  </si>
  <si>
    <t>095070.10.01</t>
  </si>
  <si>
    <t>Аксиомы рекламы: Практ. пос. / А.Н. Мудров. - М.: Магистр, ИНФРА-М, 2024. - 462 с. (п)</t>
  </si>
  <si>
    <t>АКСИОМЫ РЕКЛАМЫ</t>
  </si>
  <si>
    <t>Мудров А.Н.</t>
  </si>
  <si>
    <t>Переплет 7БЦ</t>
  </si>
  <si>
    <t>Магистр</t>
  </si>
  <si>
    <t>978-5-9776-0058-3</t>
  </si>
  <si>
    <t>Практическое пособие</t>
  </si>
  <si>
    <t>42.03.01, 38.03.06, 38.03.02, 41.03.06</t>
  </si>
  <si>
    <t>Рекламное агентство Северо Медиа</t>
  </si>
  <si>
    <t>0108</t>
  </si>
  <si>
    <t>475950.07.01</t>
  </si>
  <si>
    <t>Анализ деятельности конкурентов: Уч. пос. / Т.Н.Рыжикова - М.:НИЦ ИНФРА-М,2024 - 267 с.-(ВО)(П)</t>
  </si>
  <si>
    <t>АНАЛИЗ ДЕЯТЕЛЬНОСТИ КОНКУРЕНТОВ</t>
  </si>
  <si>
    <t>Рыжикова Т. Н.</t>
  </si>
  <si>
    <t>978-5-16-010215-3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</si>
  <si>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направлениям подготовки 38.03.02 (080200.62) «Менеджмент» (квалификация (ст</t>
  </si>
  <si>
    <t>Московский государственный технический университет им. Н.Э. Баумана</t>
  </si>
  <si>
    <t>0115</t>
  </si>
  <si>
    <t>407850.09.01</t>
  </si>
  <si>
    <t>Аналитический маркетинг: что должен знать маркет.: Уч.пос. / Т.Н.Рыжикова - М.:НИЦ ИНФРА-М,2023-288 с.(П)</t>
  </si>
  <si>
    <t>АНАЛИТИЧЕСКИЙ МАРКЕТИНГ: ЧТО ДОЛЖЕН ЗНАТЬ МАРКЕТИНГОВЫЙ АНАЛИТИК</t>
  </si>
  <si>
    <t>Рыжикова Т.Н.</t>
  </si>
  <si>
    <t>978-5-16-005383-7</t>
  </si>
  <si>
    <t>38.02.04, 38.02.01, 38.02.03, 38.04.01, 38.04.02, 38.03.01, 38.03.02, 44.03.01, 44.03.05, 41.03.06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</si>
  <si>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38.03.02 «Менеджмент» (профиль — «Маркетинг») (квалификация (степень) — «бакалавр»)</t>
  </si>
  <si>
    <t>0113</t>
  </si>
  <si>
    <t>706590.01.01</t>
  </si>
  <si>
    <t>Аспекты маркетингового управления деятельностью и развитием: Моногр./ И.И.Скоробогатых и др.-Москва:НИЦ ИНФРА-М,2019.-195 с..-(Науч.мысль)(О)</t>
  </si>
  <si>
    <t>АСПЕКТЫ МАРКЕТИНГОВОГО УПРАВЛЕНИЯ ДЕЯТЕЛЬНОСТЬЮ И РАЗВИТИЕМ ПРЕДПРИНИМАТЕЛЬСКИХ СТРУКТУР НА ОБЩЕСТВЕННОМ ТРАНСПОРТЕ</t>
  </si>
  <si>
    <t>Скоробогатых И.И., Сидорчук Р.Р., Мешков А.А. и др.</t>
  </si>
  <si>
    <t>Обложка. КБС</t>
  </si>
  <si>
    <t>Научная мысль</t>
  </si>
  <si>
    <t>978-5-16-015151-9</t>
  </si>
  <si>
    <t>Монография</t>
  </si>
  <si>
    <t>Дополнительное образование / Дополнительное профессиональное образование</t>
  </si>
  <si>
    <t>38.04.01, 38.04.02, 38.03.01, 38.03.02</t>
  </si>
  <si>
    <t>Российский экономический университет им. Г.В. Плеханова</t>
  </si>
  <si>
    <t>0119</t>
  </si>
  <si>
    <t>144450.08.01</t>
  </si>
  <si>
    <t>Ассортимент, товаровед. и эксперт. пушно-мех. товаров: Уч. пос. / Л.В.Орленко-ИД ФОРУМ,2024-272с(ВО) (П)</t>
  </si>
  <si>
    <t>АССОРТИМЕНТ, ТОВАРОВЕДЕНИЕ И ЭКСПЕРТИЗА ПУШНО-МЕХОВЫХ ТОВАРОВ</t>
  </si>
  <si>
    <t>Орленко Л. В.</t>
  </si>
  <si>
    <t>ИД Форум</t>
  </si>
  <si>
    <t>Высшее образование</t>
  </si>
  <si>
    <t>978-5-8199-0454-1</t>
  </si>
  <si>
    <t>38.02.04, 38.02.05, 38.03.07</t>
  </si>
  <si>
    <t>Рекомендовано Учебно-методическим объединением по образованию в области сервиса и туризма в качестве учебного пособия для студентов высших учебных заведений, обучающихся по специальности  "Сервис"</t>
  </si>
  <si>
    <t>682826.03.01</t>
  </si>
  <si>
    <t>Ассортимент, товаровед. и экспертиза...: Уч.пос. / Л.В.Орленко - М.:НИЦ ИНФРА-М,2022-272 с.(СПО)(П)</t>
  </si>
  <si>
    <t>Орленко Л.В.</t>
  </si>
  <si>
    <t>978-5-16-017795-3</t>
  </si>
  <si>
    <t>38.02.05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</si>
  <si>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</si>
  <si>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175600.07.01</t>
  </si>
  <si>
    <t>Безопасность бизнеса в индустр. туриз..: Уч. пос./А.Д.Чудновский-ИД ФОРУМ:НИЦ Инфра-М, 2022-336с(ВО) (п)</t>
  </si>
  <si>
    <t>БЕЗОПАСНОСТЬ БИЗНЕСА В ИНДУСТРИИ ТУРИЗМА И ГОСТЕПРИИМСТВА</t>
  </si>
  <si>
    <t>Чудновский А. Д., Белозерова Ю. М.</t>
  </si>
  <si>
    <t>978-5-8199-0502-9</t>
  </si>
  <si>
    <t>43.03.02, 43.03.03, 38.03.02</t>
  </si>
  <si>
    <t>Рекомендовано Ассоциацией вузов туристического образования в качестве учебного пособия для студентов вузов, обучающихся  по напр. "Туризм", "Гостиничное дело" и "Менеджмент организации"</t>
  </si>
  <si>
    <t>Государственный университет управления</t>
  </si>
  <si>
    <t>0112</t>
  </si>
  <si>
    <t>682833.02.01</t>
  </si>
  <si>
    <t>Безопасность бизнеса в индустрии туризма и гостеприимства:Уч.пос. / А.Д.Чудновский-М.:ИД ФОРУМ, НИЦ ИНФРА-М,2020.-335 с..-(Среднее профессиона</t>
  </si>
  <si>
    <t>Чудновский А.Д., Белозерова Ю.М.</t>
  </si>
  <si>
    <t>978-5-8199-0786-3</t>
  </si>
  <si>
    <t>43.02.10, 43.02.11, 43.02.14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</si>
  <si>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</si>
  <si>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086630.12.01</t>
  </si>
  <si>
    <t>Безопасность в туризме: Уч.пос. / А.П.Бгатов, - 2 изд.-М.:Форум, НИЦ ИНФРА-М,2023.-175 с..-(ВО)(О)</t>
  </si>
  <si>
    <t>БЕЗОПАСНОСТЬ В ТУРИЗМЕ, ИЗД.2</t>
  </si>
  <si>
    <t>Бгатов А. П.</t>
  </si>
  <si>
    <t>Форум</t>
  </si>
  <si>
    <t>978-5-91134-756-7</t>
  </si>
  <si>
    <t>43.02.10</t>
  </si>
  <si>
    <t>Рекомендовано УМО учебных заведений РФ по образованию в области сервиса и туризма Министерства обр. и науки России в качестве учебного пособия для студентов высших учебных заведений, обучающихся по напр. подготовки "Туризм"</t>
  </si>
  <si>
    <t>Российская международная академия туризма, Московский ф-л</t>
  </si>
  <si>
    <t>0213</t>
  </si>
  <si>
    <t>702283.03.01</t>
  </si>
  <si>
    <t>Безопасность в туризме: Уч.пос./ А.П.Бгатов - 2 изд. - М.:Форум,НИЦ ИНФРА-М,2023 - 175 с.(СПО) (П)</t>
  </si>
  <si>
    <t>Бгатов А.П.</t>
  </si>
  <si>
    <t>978-5-00091-655-1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</si>
  <si>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</si>
  <si>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0219</t>
  </si>
  <si>
    <t>153000.08.01</t>
  </si>
  <si>
    <t>Безопасность продовольственных товаров..: Уч. / В.М.Позняковский - М.:НИЦ ИНФРА-М,2023 - 269 с.(ВО)(П)</t>
  </si>
  <si>
    <t>БЕЗОПАСНОСТЬ ПРОДОВОЛЬСТВЕННЫХ ТОВАРОВ (С ОСНОВАМИ НУТРИЦИОЛОГИИ)</t>
  </si>
  <si>
    <t>Позняковский В.М.</t>
  </si>
  <si>
    <t>978-5-16-005308-0</t>
  </si>
  <si>
    <t>38.04.07, 38.03.07</t>
  </si>
  <si>
    <t>Рекомендовано Учебно-методическим объединением по образованию в области товароведения и экспертизы товаров в качестве учебника для подготовки бакалавров и магистров по направлению 38.03.07 «Товароведение»</t>
  </si>
  <si>
    <t>Уральский государственный экономический университет</t>
  </si>
  <si>
    <t>408800.08.01</t>
  </si>
  <si>
    <t>Бизнес в России: инновации и модерниз.проект: Моногр. /В.Э.Полетаев-М.:НИЦ ИНФРА-М,2018-624с(О)</t>
  </si>
  <si>
    <t>БИЗНЕС В РОССИИ: ИННОВАЦИИ И МОДЕРНИЗАЦИОННЫЙ ПРОЕКТ</t>
  </si>
  <si>
    <t>Полетаев В. Э.</t>
  </si>
  <si>
    <t>978-5-16-009771-8</t>
  </si>
  <si>
    <t>Дополнительное образование / Дополнительное профессиональное образование / ДПО - повышение квалификации</t>
  </si>
  <si>
    <t>38.04.01, 38.04.02, 38.03.01, 38.03.02, 44.03.01, 41.03.06</t>
  </si>
  <si>
    <t>Государственный Университет Просвещения</t>
  </si>
  <si>
    <t>185450.03.01</t>
  </si>
  <si>
    <t>Бизнес в Русской Америке: история и современность: Моногр. /О.В.Воробьева -М.:НИЦ ИНФРА-М,2019-143с.</t>
  </si>
  <si>
    <t>БИЗНЕС В РУССКОЙ АМЕРИКЕ: ИСТОРИЯ И СОВРЕМЕННОСТЬ</t>
  </si>
  <si>
    <t>Воробьева О. В.</t>
  </si>
  <si>
    <t>978-5-16-005614-2</t>
  </si>
  <si>
    <t>46.03.01, 46.04.01</t>
  </si>
  <si>
    <t>Российский государственный университет туризма и сервиса</t>
  </si>
  <si>
    <t>704206.02.01</t>
  </si>
  <si>
    <t>Бизнес-анализ: Уч. / Ю.Г.Чернышева - М.:НИЦ ИНФРА-М,2023 - 648 с.-(ВО: Бакалавриат)(П)</t>
  </si>
  <si>
    <t>БИЗНЕС-АНАЛИЗ</t>
  </si>
  <si>
    <t>Чернышева Ю.Г.</t>
  </si>
  <si>
    <t>978-5-16-017488-4</t>
  </si>
  <si>
    <t>38.04.01, 38.03.01</t>
  </si>
  <si>
    <t>Рекомендовано УМО РАЕ по классическому университетскому и техническому образованию в качестве учебника для студентов высших учебных заведений, обучающихся по направлениям подготовки 38.03.01 «Экономика», 38.03.02 «Менеджмент»</t>
  </si>
  <si>
    <t>Ростовский государственный экономический университет (РИНХ)</t>
  </si>
  <si>
    <t>0122</t>
  </si>
  <si>
    <t>459550.06.01</t>
  </si>
  <si>
    <t>Бизнес-инкубаторы и предпринимат.: Моногр. / В.Л.Горбунов-М.:ИЦ РИОР, НИЦ ИНФРА-М,2022.-215 с.(Наука и прак.)(О)</t>
  </si>
  <si>
    <t>БИЗНЕС-ИНКУБАТОРЫ И ПРЕДПРИНИМАТЕЛЬСТВО</t>
  </si>
  <si>
    <t>Горбунов В.Л.</t>
  </si>
  <si>
    <t>ИЦ РИОР</t>
  </si>
  <si>
    <t>Наука и практика</t>
  </si>
  <si>
    <t>978-5-369-01316-8</t>
  </si>
  <si>
    <t>Московский институт электронной техники</t>
  </si>
  <si>
    <t>0114</t>
  </si>
  <si>
    <t>645381.07.01</t>
  </si>
  <si>
    <t>Бизнес-коммуникации в сервисе: документац...: Уч.пос. / О.Я.Гойхман-М.:НИЦ ИНФРА-М,2023-229с(ВО)(П)</t>
  </si>
  <si>
    <t>БИЗНЕС-КОММУНИКАЦИИ В СЕРВИСЕ: ДОКУМЕНТАЦИОННЫЕ, РЕЧЕВЫЕ, ИМИДЖЕВЫЕ И РЕКЛАМНЫЕ ТЕХНОЛОГИИ</t>
  </si>
  <si>
    <t>Гойхман О.Я., Гончарова Л.М., Кошлякова М.О. и др.</t>
  </si>
  <si>
    <t>978-5-16-012633-3</t>
  </si>
  <si>
    <t>38.02.01, 42.03.01, 43.03.01</t>
  </si>
  <si>
    <t>Рекомендовано в качестве учебного пособия для студентов высших учебных заведений, обучающихся по направлениям подготовки  42.03.01 «Реклама и связи с общественностью», 43.03.01 «Сервис» (квалификация (степень) «бакалавр»)</t>
  </si>
  <si>
    <t>Российский новый университет</t>
  </si>
  <si>
    <t>0117</t>
  </si>
  <si>
    <t>050080.17.01</t>
  </si>
  <si>
    <t>Бизнес-план фирмы.Теория и практика: Уч.пос. / В.П.Буров.-М.:НИЦ ИНФРА-М,2024.-192 с.(ВО)(п)</t>
  </si>
  <si>
    <t>БИЗНЕС-ПЛАН ФИРМЫ.ТЕОРИЯ И ПРАКТИКА</t>
  </si>
  <si>
    <t>Буров В. П., Ломакин А. Л., Морошкин В. А.</t>
  </si>
  <si>
    <t>978-5-16-018750-1</t>
  </si>
  <si>
    <t>38.03.01, 38.03.05, 38.03.06, 38.03.02</t>
  </si>
  <si>
    <t>Рекомендовано УМО по образованию в области экономики и экономической теории в качестве учебного пособия для студентов обучающихся по направлению 521600 "Экономика" и экономическим специальностям</t>
  </si>
  <si>
    <t>0104</t>
  </si>
  <si>
    <t>444550.08.01</t>
  </si>
  <si>
    <t>Бизнес-планирование с оценкой рисков..: Науч.-практ. пос. / В.Л.Горбунов - 3 изд.-М.:ИЦ РИОР, НИЦ ИНФРА-М,2024-288с.(О)</t>
  </si>
  <si>
    <t>БИЗНЕС-ПЛАНИРОВАНИЕ С ОЦЕНКОЙ РИСКОВ И ЭФФЕКТИВНОСТИ ПРОЕКТОВ, ИЗД.3</t>
  </si>
  <si>
    <t>978-5-369-01894-1</t>
  </si>
  <si>
    <t>Научно-практическое пособие</t>
  </si>
  <si>
    <t>38.04.02, 38.04.05, 38.03.01, 38.03.05, 38.03.02, 41.03.06</t>
  </si>
  <si>
    <t>0322</t>
  </si>
  <si>
    <t>444550.06.01</t>
  </si>
  <si>
    <t>Бизнес-планирование с оценкой рисков..: Науч.-практ. пос./ В.Л.Горбунов,-2 изд.-М.:ИЦ РИОР, НИЦ ИНФРА-М,2021-287с.(О)</t>
  </si>
  <si>
    <t>БИЗНЕС-ПЛАНИРОВАНИЕ С ОЦЕНКОЙ РИСКОВ И ЭФФЕКТИВНОСТИ ПРОЕКТОВ, ИЗД.2</t>
  </si>
  <si>
    <t>978-5-369-00611-5</t>
  </si>
  <si>
    <t>682838.05.01</t>
  </si>
  <si>
    <t>Бизнес-планирование: Уч. / Под ред. Попадюк Т.Г. - М.:Вуз. уч., НИЦ ИНФРА-М,2023 - 296 с.(СПО)(П)</t>
  </si>
  <si>
    <t>БИЗНЕС-ПЛАНИРОВАНИЕ</t>
  </si>
  <si>
    <t>Горфинкель В.Я., Захаров П.Н. и др.</t>
  </si>
  <si>
    <t>978-5-9558-0617-4</t>
  </si>
  <si>
    <t>43.02.10, 38.02.04, 08.02.01, 38.02.01, 38.02.03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</si>
  <si>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</si>
  <si>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405700.14.01</t>
  </si>
  <si>
    <t>Бизнес-планирование: Уч. / Под ред. Попадюк Т.Г. - М.:Вуз.уч., НИЦ ИНФРА-М,2023 - 296 с.(П)</t>
  </si>
  <si>
    <t>Бобков Л.В., Горфинкель В.Я., Захаров П.Н. и др.</t>
  </si>
  <si>
    <t>978-5-9558-0270-1</t>
  </si>
  <si>
    <t>43.02.10, 38.02.01, 38.03.01, 38.03.02, 44.03.01, 41.03.06</t>
  </si>
  <si>
    <t>682839.06.01</t>
  </si>
  <si>
    <t>Бизнес-планирование: Уч.пос. / А.С.Волков - М.:ИЦ РИОР, НИЦ ИНФРА-М,2024.-81 с.(СПО)(о)</t>
  </si>
  <si>
    <t>Волков А.С., Марченко А.А.</t>
  </si>
  <si>
    <t>СПО</t>
  </si>
  <si>
    <t>978-5-369-01764-7</t>
  </si>
  <si>
    <t>43.02.10, 08.02.01, 38.02.01</t>
  </si>
  <si>
    <t>067970.08.01</t>
  </si>
  <si>
    <t>Бизнес-планирование: Уч.пос. / А.С.Волков-М.:ИЦ РИОР,НИЦ ИНФРА-М,2023 - 81с.(ВО:Бакалавр.)(о)</t>
  </si>
  <si>
    <t>Волков А. С., Марченко А. А.</t>
  </si>
  <si>
    <t>ВО: Бакалавриат</t>
  </si>
  <si>
    <t>978-5-369-00732-7</t>
  </si>
  <si>
    <t>43.02.10, 38.02.01, 38.04.01, 38.04.02, 38.04.05, 38.03.01, 38.03.05, 38.03.06, 38.03.02, 44.03.01</t>
  </si>
  <si>
    <t>0105</t>
  </si>
  <si>
    <t>041940.19.01</t>
  </si>
  <si>
    <t>Бизнес-планирование: Уч.пос. / В.А.Баринов - 4 изд. - М.:Форум,НИЦ ИНФРА-М,2022-272с.(СПО)(О)</t>
  </si>
  <si>
    <t>БИЗНЕС-ПЛАНИРОВАНИЕ, ИЗД.4</t>
  </si>
  <si>
    <t>Баринов В. А.</t>
  </si>
  <si>
    <t>978-5-00091-082-5</t>
  </si>
  <si>
    <t>43.02.10, 38.02.04, 26.02.02, 38.02.01, 38.03.01, 38.03.02, 44.03.01, 41.03.06, 18.02.13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</si>
  <si>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</si>
  <si>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0415</t>
  </si>
  <si>
    <t>079570.10.01</t>
  </si>
  <si>
    <t>Бизнес-планирование: Уч.пос. / В.А.Морошкин - 2 изд. - М.:НИЦ ИНФРА-М,2022 - 288 с.-(СПО)(П)</t>
  </si>
  <si>
    <t>БИЗНЕС-ПЛАНИРОВАНИЕ, ИЗД.2</t>
  </si>
  <si>
    <t>Морошкин В. А., Буров В. П.</t>
  </si>
  <si>
    <t>978-5-16-012223-6</t>
  </si>
  <si>
    <t>43.02.10, 38.02.04, 38.02.05, 08.02.01, 38.02.06, 38.02.07, 38.02.01, 38.02.02, 38.02.03, 44.03.01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</si>
  <si>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</si>
  <si>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0209</t>
  </si>
  <si>
    <t>079590.15.01</t>
  </si>
  <si>
    <t>Бизнес-планирование: Уч.пос. / М.В.Романова - М.:ИД Форум, НИЦ ИНФРА-М,2024 - 240 с.(ПО)(П)</t>
  </si>
  <si>
    <t>Романова М.В.</t>
  </si>
  <si>
    <t>Профессиональное образование</t>
  </si>
  <si>
    <t>978-5-8199-0756-6</t>
  </si>
  <si>
    <t>43.02.10, 38.02.04, 38.02.05, 38.02.06, 38.02.07, 38.02.01, 38.02.02, 38.02.03, 44.03.01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</si>
  <si>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</si>
  <si>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0107</t>
  </si>
  <si>
    <t>645369.03.01</t>
  </si>
  <si>
    <t>Бизнес-этика: Уч. / В.А.Канке - М.:НИЦ ИНФРА-М,2023 - 236 с.-(ВО)(п)</t>
  </si>
  <si>
    <t>БИЗНЕС-ЭТИКА</t>
  </si>
  <si>
    <t>Канке В.А.</t>
  </si>
  <si>
    <t>978-5-16-018571-2</t>
  </si>
  <si>
    <t>38.03.10, 38.04.09, 38.04.07, 38.04.01, 38.04.08, 38.04.06, 38.04.02, 38.04.03, 38.04.04, 38.04.05, 38.05.01, 38.05.02, 38.03.01, 38.03.05, 38.03.06, 38.03.07, 38.03.02, 38.03.04, 38.03.03</t>
  </si>
  <si>
    <t>Рекомендовано Межрегиональным учебно-методическим советом профессионального образования в качестве учебника для высших учебных заведений, реализующих основную образовательную программу высшего образования (квалификация (степень) «бакалавр») (протокол № 11 от 09.11.2020)</t>
  </si>
  <si>
    <t>Национальный исследовательский ядерный университет "МИФИ"</t>
  </si>
  <si>
    <t>0121</t>
  </si>
  <si>
    <t>447300.07.01</t>
  </si>
  <si>
    <t>Бренд в современной культуре: Моногр. / Л.М.Дмитриева - М.: Магистр,НИЦ ИНФРА-М, 2023 - 200 с.(О)</t>
  </si>
  <si>
    <t>БРЕНД В СОВРЕМЕННОЙ КУЛЬТУРЕ</t>
  </si>
  <si>
    <t>Дмитриева Л.М.</t>
  </si>
  <si>
    <t>978-5-9776-0369-0</t>
  </si>
  <si>
    <t>42.04.01, 51.04.01, 44.03.01, 44.03.05</t>
  </si>
  <si>
    <t>Омский государственный технический университет</t>
  </si>
  <si>
    <t>220700.10.01</t>
  </si>
  <si>
    <t>Брендинг. Управление брендом: Уч. / В.Л.Музыкант-М.:ИЦ РИОР, НИЦ ИНФРА-М,2024.-316 с.(ВО)(п)</t>
  </si>
  <si>
    <t>БРЕНДИНГ. УПРАВЛЕНИЕ БРЕНДОМ</t>
  </si>
  <si>
    <t>Музыкант В. Л.</t>
  </si>
  <si>
    <t>978-5-369-01934-4</t>
  </si>
  <si>
    <t>42.03.02, 42.03.01, 42.04.01, 38.04.02, 38.03.06, 38.03.02, 41.03.06</t>
  </si>
  <si>
    <t>Допущено Учебно-методическим объединением по образованию в области коммерции и по образованию в области маркетинга в качестве учебного пособия для студентов высших учебных заведений, обучающихся по направлению 100700.62 - «Торговое дело» и по специал</t>
  </si>
  <si>
    <t>Российская академия народного хозяйства и государственной службы при Президенте РФ</t>
  </si>
  <si>
    <t>738185.03.01</t>
  </si>
  <si>
    <t>Введение в маркетинг территорий: Уч.пос. / В.И.Алешникова - М.:НИЦ ИНФРА-М,2023-272 с.(ВО: Бакалавриат)(П)</t>
  </si>
  <si>
    <t>ВВЕДЕНИЕ В МАРКЕТИНГ ТЕРРИТОРИЙ</t>
  </si>
  <si>
    <t>Алешникова В.И.</t>
  </si>
  <si>
    <t>978-5-16-016626-1</t>
  </si>
  <si>
    <t>38.04.01, 38.04.06, 38.03.01, 38.03.06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</si>
  <si>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 (протокол № 6 от 16.06.2021)</t>
  </si>
  <si>
    <t>157600.06.01</t>
  </si>
  <si>
    <t>Введение в маркетинг: Уч. пос./ Г.А.Резник - 3 изд. - М.: ИНФРА-М, 2020. - 202 с. (ВО: Бакалавриат)(П)</t>
  </si>
  <si>
    <t>ВВЕДЕНИЕ В МАРКЕТИНГ, ИЗД.3</t>
  </si>
  <si>
    <t>Резник Г. А.</t>
  </si>
  <si>
    <t>978-5-16-009459-5</t>
  </si>
  <si>
    <t>38.02.04, 38.02.01, 38.02.03, 38.03.02, 44.03.01, 44.03.05</t>
  </si>
  <si>
    <t>Рекомендовано Советом Учебно-методического объединения вузов России по образованию в области менеджмента в качестве учебного пособия  по направлению 080200 "Менеджмент"</t>
  </si>
  <si>
    <t>Пензенский государственный университет архитектуры и строительства</t>
  </si>
  <si>
    <t>0314</t>
  </si>
  <si>
    <t>104850.13.01</t>
  </si>
  <si>
    <t>Виды и средства распространения рекламы: Уч.пос. / Б.И.Герасимов.-М.:Форум, НИЦ ИНФРА-М,2024.-128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</si>
  <si>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</si>
  <si>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</si>
  <si>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</si>
  <si>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38.02.04, 38.02.05, 42.02.01, 38.02.06, 38.02.07, 38.02.01, 38.02.02, 38.02.03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</si>
  <si>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</si>
  <si>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Тамбовский государственный технический университет</t>
  </si>
  <si>
    <t>0109</t>
  </si>
  <si>
    <t>365100.08.01</t>
  </si>
  <si>
    <t>Влияние соц.медиа на поведение потребит.в индустр.: Моногр. / С.П.Казаков - ИЦ РИОР,НИЦ ИНФРА-М,2024-98с.(О)</t>
  </si>
  <si>
    <t>ВЛИЯНИЕ СОЦИАЛЬНЫХ МЕДИА НА ПОВЕДЕНИЕ ПОТРЕБИТЕЛЕЙ В ИНДУСТРИИ ГОСТЕПРИИМСТВА И В ТУРИЗМЕ</t>
  </si>
  <si>
    <t>С.П.Казаков</t>
  </si>
  <si>
    <t>978-5-369-01453-0</t>
  </si>
  <si>
    <t>43.03.01, 43.03.02, 43.03.03, 38.04.02, 43.04.01, 43.04.02, 43.04.03, 38.03.02</t>
  </si>
  <si>
    <t>0116</t>
  </si>
  <si>
    <t>354200.01.01</t>
  </si>
  <si>
    <t>Выпускная квалификационная работа бакалавра: Уч.пос. /В.И.Криштафович -М.: Магистр, ИНФРА-М, 2015.-192с.</t>
  </si>
  <si>
    <t>ВЫПУСКНАЯ КВАЛИФИКАЦИОННАЯ РАБОТА БАКАЛАВРА (НАПРАВЛЕНИЕ "ТОВАРОВЕДЕНИЕ")</t>
  </si>
  <si>
    <t>Под ред. В.И.Криштафович</t>
  </si>
  <si>
    <t>Бакалавриат</t>
  </si>
  <si>
    <t>978-5-9776-0363-8</t>
  </si>
  <si>
    <t>38.03.07</t>
  </si>
  <si>
    <t>Университет кооперации</t>
  </si>
  <si>
    <t>159800.11.01</t>
  </si>
  <si>
    <t>География туризма: Уч. / Под ред. Богданова Е.И. - М.:НИЦ ИНФРА-М,2023 - 256 с.-(ВО: Бакалавриат)(п)</t>
  </si>
  <si>
    <t>ГЕОГРАФИЯ ТУРИЗМА</t>
  </si>
  <si>
    <t>Погодина В.Л., Филиппова И.Г., Богданов Е.И.</t>
  </si>
  <si>
    <t>978-5-16-010338-9</t>
  </si>
  <si>
    <t>43.03.01, 43.03.02, 43.03.03, 43.04.01, 43.04.02, 43.04.03, 49.03.03</t>
  </si>
  <si>
    <t>Рекомендовано Учебно-методическим объединением по образованию в области производственного менеджмента в качестве учебника для студентов, обучающихся по направлению подготовки 38.03.02 «Менеджмент»</t>
  </si>
  <si>
    <t>Санкт-Петербургский университет технологий управления и экономики</t>
  </si>
  <si>
    <t>682852.06.01</t>
  </si>
  <si>
    <t>География туризма: Уч. / Под ред. Богданова Е.И. - М.:НИЦ ИНФРА-М,2023 - 256 с.-(СПО)(П)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</si>
  <si>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</si>
  <si>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</si>
  <si>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161300.12.01</t>
  </si>
  <si>
    <t>География туризма: Уч.пос. / П.В.Большаник - 2 изд. - М.:НИЦ ИНФРА-М,2023 - 355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</si>
  <si>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</si>
  <si>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</si>
  <si>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</si>
  <si>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</si>
  <si>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Югорский государственный университет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</si>
  <si>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</si>
  <si>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</si>
  <si>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</si>
  <si>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</si>
  <si>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</si>
  <si>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43.02.01, 43.02.11, 19.02.10, 43.02.15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</si>
  <si>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</si>
  <si>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</si>
  <si>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0120</t>
  </si>
  <si>
    <t>721073.03.01</t>
  </si>
  <si>
    <t>Гостеприимство и сервис в индустрии питания: Уч.пос. / Л.Н.Рождественская-М.:НИЦ ИНФРА-М,2024-179с(ВО)(П)</t>
  </si>
  <si>
    <t>978-5-16-015814-3</t>
  </si>
  <si>
    <t>19.03.04, 38.03.02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</si>
  <si>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19.03.04 «Технология продукции и организация общественного питания», 38.03.02 «Менеджмент» (квалификация (степень) «бакалавр») (протокол № 15 от 14.10.2019)</t>
  </si>
  <si>
    <t>654596.05.01</t>
  </si>
  <si>
    <t>Гостиничное дело: Сл. / Под ред. Морозовой Н.С. - М.:НИЦ ИНФРА-М,2023 - 247 с.(Б-ка сл. ИНФРА-М)(П)</t>
  </si>
  <si>
    <t>ГОСТИНИЧНОЕ ДЕЛО</t>
  </si>
  <si>
    <t>Морозова Н.С., Морозов М.М., Маврина Н.Ф. и др.</t>
  </si>
  <si>
    <t>Библиотека словарей ИНФРА-М</t>
  </si>
  <si>
    <t>978-5-16-014764-2</t>
  </si>
  <si>
    <t>Словарь</t>
  </si>
  <si>
    <t>43.03.03, 43.04.02, 43.04.03</t>
  </si>
  <si>
    <t>300400.12.01</t>
  </si>
  <si>
    <t>Гостиничный менеджмент: Уч.пос. / Под ред. Зайцевой Н.А. - 2 изд.-М.:НИЦ ИНФРА-М,2024.-326 с.(ВО)(П)</t>
  </si>
  <si>
    <t>ГОСТИНИЧНЫЙ МЕНЕДЖМЕНТ, ИЗД.2</t>
  </si>
  <si>
    <t>Дмитриева Н.В., Зайцева Н.А., Огнева Е.А. и др.</t>
  </si>
  <si>
    <t>978-5-16-019372-4</t>
  </si>
  <si>
    <t>Управление (менеджмент)</t>
  </si>
  <si>
    <t>43.03.01, 43.03.03, 43.04.01, 43.04.03, 43.02.14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</si>
  <si>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направлению подготовки 43.03.03 «Гостиничное дело» (квалификация (степень) «бакалавр») (протокол № 5 от 16.03.2020)</t>
  </si>
  <si>
    <t>Российский государственный университет туризма и сервиса, ф-л Институт туризма и гостеприимства</t>
  </si>
  <si>
    <t>0220</t>
  </si>
  <si>
    <t>300400.08.01</t>
  </si>
  <si>
    <t>Гостиничный менеджмент: Уч.пос. / Под ред. Зайцевой Н.А. - М.:НИЦ ИНФРА-М,2022 - 352 с.(П)</t>
  </si>
  <si>
    <t>ГОСТИНИЧНЫЙ МЕНЕДЖМЕНТ</t>
  </si>
  <si>
    <t>Дмитриева Н.В., Зайцева Н.А., Огнева С.В. и др.</t>
  </si>
  <si>
    <t>978-5-16-016041-2</t>
  </si>
  <si>
    <t>Рекомендовано федеральным государственным бюджетным образовательным  учреждением высшего профессионального образования «Государственный университет управления» в качестве учебного пособия для студентов высших учебных заведений, обучающихся по направлению подготовки 43.03.03 «Гостиничное дело» (квалификация (степень) «бакалавр») (регистрационный номер рецензии 329 от 02.07.2014 (ФГАУ ФИРО))</t>
  </si>
  <si>
    <t>219600.10.01</t>
  </si>
  <si>
    <t>Гостиничный сервис: Уч. / Н.Г.Можаева - 2 изд.- М.:НИЦ ИНФРА-М,2024 - 242 с.-(СПО)(П)</t>
  </si>
  <si>
    <t>ГОСТИНИЧНЫЙ СЕРВИС, ИЗД.2</t>
  </si>
  <si>
    <t>Можаева Н.Г., Рыбачек Г.В.</t>
  </si>
  <si>
    <t>978-5-16-015561-6</t>
  </si>
  <si>
    <t>43.02.11, 43.02.14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</si>
  <si>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</si>
  <si>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Российский государственный гуманитарный университет РГГУ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</si>
  <si>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</si>
  <si>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</si>
  <si>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</si>
  <si>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</si>
  <si>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Альфа-М</t>
  </si>
  <si>
    <t>ПРОФИль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</si>
  <si>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</si>
  <si>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</si>
  <si>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804001.01.01</t>
  </si>
  <si>
    <t>Государственное регулир. предприним. деят-ти в услов... / М.В.Шатохин-М.:НИЦ ИНФРА-М,2023.-222 с(о)</t>
  </si>
  <si>
    <t>ГОСУДАРСТВЕННОЕ РЕГУЛИРОВАНИЕ ПРЕДПРИНИМАТЕЛЬСКОЙ ДЕЯТЕЛЬНОСТИ В УСЛОВИЯХ ГЕОПОЛИТИЧЕСКОЙ НЕСТАБИЛЬНОСТИ</t>
  </si>
  <si>
    <t>Шатохин М.В., Васильева О.Н., Жахов Н.В. и др.</t>
  </si>
  <si>
    <t>978-5-16-018595-8</t>
  </si>
  <si>
    <t>38.04.04, 38.03.01</t>
  </si>
  <si>
    <t>Август, 2023</t>
  </si>
  <si>
    <t>0124</t>
  </si>
  <si>
    <t>172200.12.01</t>
  </si>
  <si>
    <t>Государственный PR: связи с общ. для гос. орг.: Уч. / А.Н.Чумиков - 3 изд.-М.:НИЦ ИНФРА,2023-343с(П)</t>
  </si>
  <si>
    <t>ГОСУДАРСТВЕННЫЙ PR: СВЯЗИ С ОБЩЕСТВЕННОСТЬЮ ДЛЯ ГОСУДАРСТВЕННЫХ ОРГАНИЗАЦИЙ И ПРОЕКТОВ, ИЗД.3</t>
  </si>
  <si>
    <t>Чумиков А.Н., Бочаров М.П.</t>
  </si>
  <si>
    <t>978-5-16-013075-0</t>
  </si>
  <si>
    <t>42.03.02, 42.03.01, 42.04.01, 42.04.02, 39.04.01, 38.04.04, 38.03.06, 38.03.04, 39.03.01, 41.03.06</t>
  </si>
  <si>
    <t>Допущено Учебно-методическим объединением по образованию в области международных отношений в качестве учебника для студентов высших учебных заведений, обучающихся по направлению подготовки (специальности) 42.03.01 «Реклама и связи с общественностью»</t>
  </si>
  <si>
    <t>Институт социологии Российской академии наук</t>
  </si>
  <si>
    <t>0317</t>
  </si>
  <si>
    <t>119400.09.01</t>
  </si>
  <si>
    <t>Государство и бизнес в России: инновации.: Моногр./В.Э.Полетаев-М.:НИЦ ИНФРА-М,2020-281с(О)</t>
  </si>
  <si>
    <t>ГОСУДАРСТВО И БИЗНЕС В РОССИИ: ИННОВАЦИИ И ПЕРСПЕКТИВЫ</t>
  </si>
  <si>
    <t>Полетаев В.Э.</t>
  </si>
  <si>
    <t>978-5-16-015989-8</t>
  </si>
  <si>
    <t>40.03.01, 27.04.07, 40.04.01</t>
  </si>
  <si>
    <t>0110</t>
  </si>
  <si>
    <t>764913.02.01</t>
  </si>
  <si>
    <t>Деловое общение и кросскультурные коммуникации: Прак. / Е.Е.Жукова-М.:НИЦ ИНФРА-М,2023.-320 с.(ВО)(п)</t>
  </si>
  <si>
    <t>ДЕЛОВОЕ ОБЩЕНИЕ И КРОСС-КУЛЬТУРНЫЕ КОММУНИКАЦИИ</t>
  </si>
  <si>
    <t>Жукова Е.Е., Суворова Т.В.</t>
  </si>
  <si>
    <t>978-5-16-017497-6</t>
  </si>
  <si>
    <t>Практикум</t>
  </si>
  <si>
    <t>38.03.10, 38.05.01, 38.05.02, 38.03.01, 38.03.05, 38.03.06, 38.03.07, 38.03.02, 38.03.04, 38.03.03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</si>
  <si>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направлениям подготовки (квалификация (степень) «бакалавр») (протокол № 9 от 17.11.2022)</t>
  </si>
  <si>
    <t>Московский финансово-промышленный университет "Синергия"</t>
  </si>
  <si>
    <t>0123</t>
  </si>
  <si>
    <t>076260.04.01</t>
  </si>
  <si>
    <t>Деловое общение: Шпаргалка - М.:ИЦ РИОР - 127 с.-(Шпаргалка [отрывная])(О)</t>
  </si>
  <si>
    <t>ДЕЛОВОЕ ОБЩЕНИЕ</t>
  </si>
  <si>
    <t>Шпаргалка [отрывная]</t>
  </si>
  <si>
    <t>978-5-369-00672-6</t>
  </si>
  <si>
    <t>Шпаргалка</t>
  </si>
  <si>
    <t>38.03.01, 38.03.03, 41.03.06</t>
  </si>
  <si>
    <t>0106</t>
  </si>
  <si>
    <t>660285.06.01</t>
  </si>
  <si>
    <t>Дизайн в культур.пространстве: Уч.пос. / Л.М.Дмитриева-М.:Магистр, НИЦ ИНФРА-М,2023.-152 с.(О)</t>
  </si>
  <si>
    <t>ДИЗАЙН В КУЛЬТУРНОМ ПРОСТРАНСТВЕ</t>
  </si>
  <si>
    <t>Дмитриева Л.М., Балюта П.А.</t>
  </si>
  <si>
    <t>Магистратура</t>
  </si>
  <si>
    <t>978-5-9776-0461-1</t>
  </si>
  <si>
    <t>54.02.01, 07.03.03, 54.03.01, 54.03.03, 54.01.20</t>
  </si>
  <si>
    <t>242600.12.01</t>
  </si>
  <si>
    <t>Дизайн и рекламные технологии: Уч.пос. /О.Н.Ткаченко-М.:Магистр, НИЦ ИНФРА-М,2024-176с.(Бакалавр.)(О)</t>
  </si>
  <si>
    <t>ДИЗАЙН И РЕКЛАМНЫЕ ТЕХНОЛОГИИ</t>
  </si>
  <si>
    <t>Ткаченко О.Н., Дмитриева Л.М.</t>
  </si>
  <si>
    <t>978-5-9776-0288-4</t>
  </si>
  <si>
    <t>42.03.01, 42.04.01, 41.03.06</t>
  </si>
  <si>
    <t>Допущено УМО вузов Российской Федерации по образованию в области международных отношений в качестве учебного пособия для студентов высших учебных заведений, обучающихся по направлению подготовки (специальности) «Реклама и связи с общественностью»</t>
  </si>
  <si>
    <t>741372.01.01</t>
  </si>
  <si>
    <t>Динамическая устойчивость холдингов: Моногр. / М.Г.Лазарева-М.:НИЦ ИНФРА-М,2021.-251 с.(Науч.мысль)(О)</t>
  </si>
  <si>
    <t>ДИНАМИЧЕСКАЯ УСТОЙЧИВОСТЬ ХОЛДИНГОВ</t>
  </si>
  <si>
    <t>Лазарева М.Г.</t>
  </si>
  <si>
    <t>978-5-16-016461-8</t>
  </si>
  <si>
    <t>38.04.01, 38.04.02, 38.06.01</t>
  </si>
  <si>
    <t>479450.04.01</t>
  </si>
  <si>
    <t>Диффундирование маркетинга в производ.промышл.: Моногр./В.Д.Сыров-М.:ИЦ РИОР,НИЦ ИНФРА-М,2023-100(о)</t>
  </si>
  <si>
    <t>ДИФФУНДИРОВАНИЕ МАРКЕТИНГА В ПРОИЗВОДСТВО ПРОМЫШЛЕННОГО ПРЕДПРИЯТИЯ</t>
  </si>
  <si>
    <t>Сыров В.Д.</t>
  </si>
  <si>
    <t>978-5-369-01392-2</t>
  </si>
  <si>
    <t>03.03.02, 38.04.01, 38.04.02, 38.06.01, 38.03.01, 38.03.02, 44.03.01, 44.03.05</t>
  </si>
  <si>
    <t>Владимирский государственный университет им. А.Г. и Н.Г. Столетовых</t>
  </si>
  <si>
    <t>393000.05.01</t>
  </si>
  <si>
    <t>Документационное обесп.кадровой деят...: Уч.пос. / Лаврентьева М.Г. - М.:НИЦ ИНФРА-М,2020 - 99 с.(О)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</si>
  <si>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</si>
  <si>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</si>
  <si>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978-5-16-011901-4</t>
  </si>
  <si>
    <t>Экономика. Бухгалтерский учет. Финансы</t>
  </si>
  <si>
    <t>43.03.01, 43.03.02, 43.03.03, 43.04.03</t>
  </si>
  <si>
    <t>Рекомендовано в качестве учебного пособия для студентов высших учебных заведений, обучающихся по направлениям подготовки 43.03.02 «Туризм», 43.03.03 «Гостиничное дело» (квалификация (степень) «бакалавр»)</t>
  </si>
  <si>
    <t>Московский колледж бизнес-технологий</t>
  </si>
  <si>
    <t>703746.06.01</t>
  </si>
  <si>
    <t>Документационное обеспеч. кадровой деят. в..: Уч.пос. / Можаева Н.Г. - М.:НИЦ ИНФРА-М,2024 - 99 с.(СПО)(О)</t>
  </si>
  <si>
    <t>978-5-16-014893-9</t>
  </si>
  <si>
    <t>46.01.03, 43.02.10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</si>
  <si>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</si>
  <si>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448550.09.01</t>
  </si>
  <si>
    <t>Доходы, расходы и прибыль в орг. торговли: Уч.пос. / Ю.К.Баженов-М.:ИД ФОРУМ, НИЦ ИНФРА-М,2024.-95 с.(ВО)(О)</t>
  </si>
  <si>
    <t>ДОХОДЫ, РАСХОДЫ И ПРИБЫЛЬ В ОРГАНИЗАЦИЯХ ТОРГОВЛИ</t>
  </si>
  <si>
    <t>Баженов Ю.К., Иванов Г.Г.</t>
  </si>
  <si>
    <t>978-5-8199-0816-7</t>
  </si>
  <si>
    <t>38.03.01, 38.03.06, 38.03.02, 41.03.06</t>
  </si>
  <si>
    <t>Рекомендовано кафедрой торговой политики РЭУ им. Г.В. Плеханова в качестве учебного пособия для студентов высших учебных заведений, обучающихся по направлениям 38.03.06 «Торговое дело», 38.03.01 «Экономика», 38.03.02 «Менеджмент» (квалификация (степень) «бакалавр»)</t>
  </si>
  <si>
    <t>096450.11.01</t>
  </si>
  <si>
    <t>Идентификация и обнаруж. фальсиф. продов..: Уч.пос. /М.А.Николаева - НИЦ ИНФРА-М, 2022-464с(ВО)(П)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</si>
  <si>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</si>
  <si>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</si>
  <si>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978-5-16-015307-0</t>
  </si>
  <si>
    <t>19.03.04, 38.04.06, 38.03.06, 38.03.07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</si>
  <si>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38.03.06 «Торговое дело», 38.03.07 «Товароведение» (квалификация (степень) «бакалавр») (протокол № 15 от 14.10.2019)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</si>
  <si>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</si>
  <si>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</si>
  <si>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978-5-16-016019-1</t>
  </si>
  <si>
    <t>38.02.04, 38.02.05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</si>
  <si>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</si>
  <si>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474050.10.01</t>
  </si>
  <si>
    <t>Инвалидность и туризм: потреб. и дост..: Моногр./Е.А.Сигида-М.:НИЦ ИНФРА-М,2023-106с(Науч.мысль)(о)</t>
  </si>
  <si>
    <t>ИНВАЛИДНОСТЬ И ТУРИЗМ: ПОТРЕБНОСТЬ И ДОСТУПНОСТЬ</t>
  </si>
  <si>
    <t>Сигида Е.А., Лукьянова И.Е.</t>
  </si>
  <si>
    <t>978-5-16-010152-1</t>
  </si>
  <si>
    <t>43.03.02, 39.04.02, 43.04.02, 39.03.02</t>
  </si>
  <si>
    <t>241500.09.01</t>
  </si>
  <si>
    <t>Инвестиционное бизнес-планирование: Уч. пос./М.В.Чараева - М.:Альфа-М:ИНФРА-М, 2024-176с.(Бакалавр.) (П)</t>
  </si>
  <si>
    <t>ИНВЕСТИЦИОННОЕ БИЗНЕС-ПЛАНИРОВАНИЕ</t>
  </si>
  <si>
    <t>Чараева М. В., Лапицкая Г. М., Крашенникова Н. В.</t>
  </si>
  <si>
    <t>978-5-98281-370-1</t>
  </si>
  <si>
    <t>43.02.10, 38.02.01, 38.04.01, 38.04.08, 38.04.02, 38.03.01, 38.03.02, 44.03.01, 41.03.06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</si>
  <si>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080100.62 «Экономика» (квалификация (степень)«бакала</t>
  </si>
  <si>
    <t>Южный федеральный университет</t>
  </si>
  <si>
    <t>451050.05.01</t>
  </si>
  <si>
    <t>Инвестиционные риски в маркетинге: Уч. пос./Т.И.Урясьева - М.: Вуз. учеб.: НИЦ ИНФРА-М, 2023-128с. (о)</t>
  </si>
  <si>
    <t>ИНВЕСТИЦИОННЫЕ РИСКИ В МАРКЕТИНГЕ</t>
  </si>
  <si>
    <t>Урясьева Т. И.</t>
  </si>
  <si>
    <t>978-5-9558-0335-7</t>
  </si>
  <si>
    <t>38.04.08, 38.04.06, 38.04.02, 38.03.05, 38.03.06, 38.03.02, 41.03.06</t>
  </si>
  <si>
    <t>Допущено Учебно-методическим объединением по образованию в области маркетинга в качестве учебного пособия для студентов высших учебных заведений, обучающихся по специальности 100700.68 Торговое дело, по магистерской программе «Стратегии и инновации в</t>
  </si>
  <si>
    <t>392000.08.01</t>
  </si>
  <si>
    <t>Индустрия гостеприимства. Прак.: Уч.мет.пос. / Н.Г.Можаева, - 2 изд.-М.:НИЦ ИНФРА-М,2024.-113 с.(О)</t>
  </si>
  <si>
    <t>ИНДУСТРИЯ ГОСТЕПРИИМСТВА. ПРАКТИКУМ, ИЗД.2</t>
  </si>
  <si>
    <t>Можаева Н.Г., Камшечко М.В.</t>
  </si>
  <si>
    <t>978-5-16-016990-3</t>
  </si>
  <si>
    <t>Учебно-методическое пособие</t>
  </si>
  <si>
    <t>43.03.01, 43.03.02, 43.03.03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</si>
  <si>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43.03.03 «Гостиничное дело», 43.03.01 «Сервис», 43.03.02 «Туризм» (квалификация (степень) «бакалавр») (протокол № 5 от 11.05.2022)</t>
  </si>
  <si>
    <t>0222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</si>
  <si>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</si>
  <si>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</si>
  <si>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</si>
  <si>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978-5-16-019338-0</t>
  </si>
  <si>
    <t>Октябрь, 2023</t>
  </si>
  <si>
    <t>0224</t>
  </si>
  <si>
    <t>392000.06.01</t>
  </si>
  <si>
    <t>Индустрия гостеприимства. Практ.: Уч.пос. / Н.Г.Можаева-М.:Форум, НИЦ ИНФРА-М,2020.-120 с.(ВО)(О)</t>
  </si>
  <si>
    <t>ИНДУСТРИЯ ГОСТЕПРИИМСТВА. ПРАКТИКУМ</t>
  </si>
  <si>
    <t>978-5-00091-602-5</t>
  </si>
  <si>
    <t>Рекомендовано в качестве учебного пособия для студентов высших учебных заведений, обучающихся по направлениям подготовки 43.03.03 «Гостиничное дело», 43.03.01 «Сервис», 43.03.02 «Туризм» (квалификация (степень) «бакалавр»)</t>
  </si>
  <si>
    <t>682868.02.01</t>
  </si>
  <si>
    <t>Индустрия гостеприимства.: основы орг. и упр.: Уч.пос. /А.Д.Чудновский-М.:ИД ФОРУМ,НИЦ ИНФРА-М, 2022-400(СПО)(П)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</si>
  <si>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</si>
  <si>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</si>
  <si>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</si>
  <si>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</si>
  <si>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144350.08.01</t>
  </si>
  <si>
    <t>Индустрия гостеприимства: основы орг...: Уч.пос. / А.Д.Чудновский.-М.:ИД Форум, ИНФРА-М,2023.-400 с.(П)</t>
  </si>
  <si>
    <t>Чудновский А. Д., Жукова М. А., Белозерова Ю. М., Кнышова Е. Н.</t>
  </si>
  <si>
    <t>978-5-8199-0945-4</t>
  </si>
  <si>
    <t>43.03.03, 38.03.02</t>
  </si>
  <si>
    <t>Допущено Советом Учебно-методического объединения по образованию в области менеджмента в качестве учебного пособия по  направлению «Менеджмент организации»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</si>
  <si>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</si>
  <si>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</si>
  <si>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</si>
  <si>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</si>
  <si>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</si>
  <si>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156500.10.01</t>
  </si>
  <si>
    <t>Инновационный маркетинг: Уч. / В.Д.Секерин-М.:НИЦ ИНФРА-М,2024.-237 с..-(ВО)(п)</t>
  </si>
  <si>
    <t>ИННОВАЦИОННЫЙ МАРКЕТИНГ</t>
  </si>
  <si>
    <t>Секерин В. Д.</t>
  </si>
  <si>
    <t>978-5-16-018932-1</t>
  </si>
  <si>
    <t>38.02.04, 38.02.01, 38.02.03, 38.04.06, 38.03.01, 38.03.06, 38.03.02, 44.03.01, 44.03.05, 41.03.06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</si>
  <si>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38.03.02 «Менеджмент»</t>
  </si>
  <si>
    <t>Всероссийская академия внешней торговли Министерства экономического развития Российской Федерации</t>
  </si>
  <si>
    <t>437450.07.01</t>
  </si>
  <si>
    <t>Инновационный ритейл. Организ. лидерство и..: Моногр. /В.П.Чеглов -2 изд. -ФОРУМ: ИНФРА-М, 2023 -272с (о)</t>
  </si>
  <si>
    <t>ИННОВАЦИОННЫЙ РИТЕЙЛ. ОРГАНИЗАЦИОННОЕ ЛИДЕРСТВО И ЭФФЕКТИВНЫЕ ТЕХНОЛОГИИ, ИЗД.2</t>
  </si>
  <si>
    <t>Чеглов В.П.</t>
  </si>
  <si>
    <t>978-5-8199-0606-4</t>
  </si>
  <si>
    <t>38.04.07, 38.04.01, 38.04.06, 38.04.02, 38.04.05, 38.03.01, 38.03.05, 38.03.06, 38.03.07, 38.03.02, 41.03.06</t>
  </si>
  <si>
    <t>0214</t>
  </si>
  <si>
    <t>393400.04.01</t>
  </si>
  <si>
    <t>Интегрированные маркет.коммун. / И.Б.Архангельская - М.:ИЦ РИОР,НИЦ ИНФРА-М,2022 - 171с(ВО:Бакалавр.)(п)</t>
  </si>
  <si>
    <t>ИНТЕГРИРОВАННЫЕ МАРКЕТИНГОВЫЕ КОММУНИКАЦИИ</t>
  </si>
  <si>
    <t>Архангельская И.Б., Мезина Л.Г., Архангельская А.С.</t>
  </si>
  <si>
    <t>978-5-369-01485-1</t>
  </si>
  <si>
    <t>42.03.01, 38.03.06, 38.03.02</t>
  </si>
  <si>
    <t>Допущено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«Менеджмент» (квалификация (степень) «бакалавр»)</t>
  </si>
  <si>
    <t>Национальный исследовательский Нижегородский государственный университет им. Н.И. Лобачевского</t>
  </si>
  <si>
    <t>668893.04.01</t>
  </si>
  <si>
    <t>Интегрированные маркет.коммуникации...: Уч.пос. / О.Г.Кузьмина-М.:ИЦ РИОР, НИЦ ИНФРА-М,2023-187с(П)</t>
  </si>
  <si>
    <t>ИНТЕГРИРОВАННЫЕ МАРКЕТИНГОВЫЕ КОММУНИКАЦИИ: ТЕОРИЯ И ПРАКТИКА РЕКЛАМЫ</t>
  </si>
  <si>
    <t>Кузьмина О.Г., Посухова О.Ю.</t>
  </si>
  <si>
    <t>978-5-369-01756-2</t>
  </si>
  <si>
    <t>42.03.02, 42.03.01, 38.03.06, 41.03.06, 51.03.03</t>
  </si>
  <si>
    <t>189350.07.01</t>
  </si>
  <si>
    <t>Интегрированные маркетинговые коммуник.: Уч. пос. / В.Л.Музыкант - РИОР:Инфра-М,2022 - 216с.(ВО)(п)</t>
  </si>
  <si>
    <t>Высшее образование: Азбука рекламы</t>
  </si>
  <si>
    <t>978-5-369-01121-8</t>
  </si>
  <si>
    <t>38.02.04, 38.02.01, 38.02.03, 42.03.01, 42.04.01, 38.04.02, 38.03.02, 44.03.01, 44.03.05, 41.03.06</t>
  </si>
  <si>
    <t>Допущено Учебно-методическим объединением по образованию в области коммерции и маркетинга в качестве учебного пособия для студентов высших учебных заведений, обучающихся по направлению 100700.62 - "Торговое дело" и по специальностям 032401 - "Реклама</t>
  </si>
  <si>
    <t>682889.03.01</t>
  </si>
  <si>
    <t>Информационно-экскурс. деят. на предпр. туризма: Уч. / Под ред. Богданова Е.И.-М.:НИЦ ИНФРА-М,2021.-383 с.(П)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</si>
  <si>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</si>
  <si>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</si>
  <si>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</si>
  <si>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</si>
  <si>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Российский государственный педагогический университет им. А.И. Герцена</t>
  </si>
  <si>
    <t>158400.11.01</t>
  </si>
  <si>
    <t>Информационно-экскурсионная деят. на предпр. туризма: Уч. / А.С. Баранов-М.:НИЦ ИНФРА-М,2024-383с(ВО)(п)</t>
  </si>
  <si>
    <t>Баранов А. С., Бисько И. А., Богданов Е. И.</t>
  </si>
  <si>
    <t>978-5-16-019279-6</t>
  </si>
  <si>
    <t>43.03.02, 43.03.03, 43.04.03</t>
  </si>
  <si>
    <t>Рекомендовано Учебно-методическим объединением по образованию в области производственного менеджмента Минобрнауки РФ в качестве учебника для студентов высших учебных заведений, обуч. по спец. 080502 "Экономика и управление на предприятии туризма"</t>
  </si>
  <si>
    <t>311500.04.01</t>
  </si>
  <si>
    <t>Инфраструктура инноваций и малые предпр..: Моногр. / В.Я.Вилисов - М.:ИЦ РИОР,НИЦ ИНФРА-М,2022 - 228с(о)</t>
  </si>
  <si>
    <t>ИНФРАСТРУКТУРА ИННОВАЦИЙ И МАЛЫЕ ПРЕДПРИЯТИЯ: СОСТОЯНИЕ, ОЦЕНКИ, МОДЕЛИРОВАНИЕ</t>
  </si>
  <si>
    <t>Вилисов В.Я, Вилисова А.В.</t>
  </si>
  <si>
    <t>978-5-369-01395-3</t>
  </si>
  <si>
    <t>38.04.01, 38.04.02, 38.06.01, 38.03.01, 38.03.02</t>
  </si>
  <si>
    <t>Технологический университет имени дважды героя Советского Союза, летчика-космонавта А.А.Леонова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</si>
  <si>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</si>
  <si>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</si>
  <si>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</si>
  <si>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Шитов В.Н.</t>
  </si>
  <si>
    <t>978-5-16-015080-2</t>
  </si>
  <si>
    <t>43.02.08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</si>
  <si>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</si>
  <si>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Саратовский государственный медицинский университет им. В.И. Разумовского Минздрава России</t>
  </si>
  <si>
    <t>465600.06.01</t>
  </si>
  <si>
    <t>История  рекламы: Уч.пос. / Ю.А.Шестаков-М.:ИЦ РИОР,НИЦ ИНФРА-М,2023-259с.(ВО:Бакалавр.)(П)</t>
  </si>
  <si>
    <t>ИСТОРИЯ РЕКЛАМЫ</t>
  </si>
  <si>
    <t>Шестаков Ю.А.</t>
  </si>
  <si>
    <t>978-5-369-01496-7</t>
  </si>
  <si>
    <t>42.03.01, 38.03.01, 38.03.02</t>
  </si>
  <si>
    <t>Донской государственный технический университет, ф-л Институт сферы обслуживания и предпринимательст</t>
  </si>
  <si>
    <t>141300.10.01</t>
  </si>
  <si>
    <t>История связей с общественностью: Уч. пос. / Е.Н.Бузни - 2 изд. - М.: Вуз.уч.: ИНФРА-М, 2023-224с. (п)</t>
  </si>
  <si>
    <t>ИСТОРИЯ СВЯЗЕЙ С ОБЩЕСТВЕННОСТЬЮ, ИЗД.2</t>
  </si>
  <si>
    <t>Бузни Е. Н.</t>
  </si>
  <si>
    <t>978-5-9558-0347-0</t>
  </si>
  <si>
    <t>46.03.01, 42.03.02, 42.03.01, 42.04.01, 51.04.04, 46.04.01, 42.04.02, 53.04.06, 50.04.04, 38.04.06, 38.03.06, 53.03.06, 50.03.04, 41.03.06</t>
  </si>
  <si>
    <t>Допущено Учебно-методическим объединением вузов Российской Федерации по образованию в области международных отношений в качестве учебного пособия для студентов вузов, обучающихся по направлению подготовки (специальности) «Связи с общественностью»</t>
  </si>
  <si>
    <t>-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</si>
  <si>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</si>
  <si>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</si>
  <si>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</si>
  <si>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</si>
  <si>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</si>
  <si>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43.02.01, 43.02.07, 43.02.02, 43.02.05, 43.02.06, 43.02.04, 43.02.08, 43.02.09, 43.02.10, 43.02.11, 43.02.14, 43.02.13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</si>
  <si>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</si>
  <si>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651754.05.01</t>
  </si>
  <si>
    <t>История сервиса: Уч.пос. / В.Э.Багдасарян и др., - 2 изд.-М.:НИЦ ИНФРА-М,2024-337 с.(ВО: Бакалавриат)(п)</t>
  </si>
  <si>
    <t>978-5-16-012845-0</t>
  </si>
  <si>
    <t>43.03.01, 43.04.01</t>
  </si>
  <si>
    <t>Рекомендовано в качестве учебного пособия для студентов высших учебных заведений, обучающихся по направлениям подготовки 43.03.01«Сервис», 46.03.01 «История» (квалификация (степень) «бакалавр»)</t>
  </si>
  <si>
    <t>682948.02.01</t>
  </si>
  <si>
    <t>История торговли: Уч.пос. / Л.В.Орленко - М.:НИЦ ИНФРА-М,2023 - 351 с.-(СПО)(П)</t>
  </si>
  <si>
    <t>ИСТОРИЯ ТОРГОВЛИ</t>
  </si>
  <si>
    <t>978-5-16-016900-2</t>
  </si>
  <si>
    <t>38.01.02, 38.02.04, 38.02.05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</si>
  <si>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</si>
  <si>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073200.10.01</t>
  </si>
  <si>
    <t>История торговли: Уч.пос. / Л.В.Орленко - М.:НИЦ ИНФРА-М,2024 - 351 с.(ВО: Бакалавриат)(П)</t>
  </si>
  <si>
    <t>978-5-16-016899-9</t>
  </si>
  <si>
    <t>38.04.07, 38.04.06, 38.03.06, 38.03.07</t>
  </si>
  <si>
    <t>Рекомендовано чебно-методическим объединением по образованию в области товароведения и экспертизы товаров в качестве учебного пособия для студентов, обучающихся по направлению подготовки 38.03.07 «Товароведение»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</si>
  <si>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</si>
  <si>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</si>
  <si>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</si>
  <si>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</si>
  <si>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</si>
  <si>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</si>
  <si>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648915.05.01</t>
  </si>
  <si>
    <t>История туризма: Уч.пос. / В.Э.Багдасарян и др.-М.:НИЦ ИНФРА-М,2023.-190 с.(ВО: Магистратура)(п)</t>
  </si>
  <si>
    <t>978-5-16-012702-6</t>
  </si>
  <si>
    <t>46.03.01, 43.03.02, 43.04.02</t>
  </si>
  <si>
    <t>Рекомендовано в качестве учебного пособия для студентов высших учебных заведений, обучающихся по направлениям подготовки 43.03.02 «Туризм», 46.03.01 «История» (квалификация (степень) «бакалавр»)</t>
  </si>
  <si>
    <t>343700.06.01</t>
  </si>
  <si>
    <t>Кейтеринг: Уч.пос. / Ю.Б.Башин - М.:Вузовский уч., НИЦ ИНФРА-М,2019 - 126 с.(О)</t>
  </si>
  <si>
    <t>КЕЙТЕРИНГ</t>
  </si>
  <si>
    <t>Башин Ю.Б., Телепченкова Н.В.</t>
  </si>
  <si>
    <t>978-5-9558-0424-8</t>
  </si>
  <si>
    <t>43.03.02, 43.03.03, 19.03.04</t>
  </si>
  <si>
    <t>МИРЭА - Российский технологический университет</t>
  </si>
  <si>
    <t>343700.05.01</t>
  </si>
  <si>
    <t>Кейтеринг: Уч.пос. / Ю.Б.Башин, - 2 изд.-М.:Вузовский уч., НИЦ ИНФРА-М,2022.-155 с.(ВО: Бакалавриат)(П)</t>
  </si>
  <si>
    <t>КЕЙТЕРИНГ, ИЗД.2</t>
  </si>
  <si>
    <t>Башин Ю.Б., Власова Н.В.</t>
  </si>
  <si>
    <t>978-5-9558-0634-1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</si>
  <si>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43.03.02 «Туризм», 43.03.03 «Гостиничное дело» (квалификация (степень) «бакалавр») (протокол № 1 от 12.01.2022)</t>
  </si>
  <si>
    <t>144100.05.01</t>
  </si>
  <si>
    <t>Кластерный подход к упр.разв...:Моногр./А.Ю.Яковлева-Чернышева-М.:НИЦ ИНФРА-М,2021-208с.(Науч.мысль)</t>
  </si>
  <si>
    <t>КЛАСТЕРНЫЙ ПОДХОД К УПРАВЛЕНИЮ РАЗВИТИЕМ ПРЕДПРИНИМАТЕЛЬСКИХ СТРУКТУР В РЕКРЕАЦИОННОЙ СИСТЕМЕ</t>
  </si>
  <si>
    <t>Яковлева-Чернышева А. Ю.</t>
  </si>
  <si>
    <t>ИНФРА-М Издательский Дом</t>
  </si>
  <si>
    <t>978-5-16-004779-9</t>
  </si>
  <si>
    <t>43.03.01, 43.03.02, 43.03.03, 38.04.04, 43.04.01, 43.04.02, 43.04.03, 38.03.04</t>
  </si>
  <si>
    <t>Международный инновационный университет</t>
  </si>
  <si>
    <t>719350.05.01</t>
  </si>
  <si>
    <t>Клиентоориентированность: исслед., стратегии...: Моногр./Л.С.Латышова -М.:НИЦ ИНФРА-М,2024-241с.(П)</t>
  </si>
  <si>
    <t>КЛИЕНТООРИЕНТИРОВАННОСТЬ: ИССЛЕДОВАНИЯ, СТРАТЕГИИ, ТЕХНОЛОГИИ</t>
  </si>
  <si>
    <t>Латышова Л.С., Липсиц И.В., Ойнер О.К. и др.</t>
  </si>
  <si>
    <t>978-5-16-015796-2</t>
  </si>
  <si>
    <t>38.04.01, 38.04.06, 38.04.02, 38.06.01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</si>
  <si>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</si>
  <si>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</si>
  <si>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</si>
  <si>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</si>
  <si>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</si>
  <si>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38.02.04, 38.02.03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</si>
  <si>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</si>
  <si>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</si>
  <si>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</si>
  <si>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</si>
  <si>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</si>
  <si>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</si>
  <si>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</si>
  <si>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</si>
  <si>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0223</t>
  </si>
  <si>
    <t>214800.07.01</t>
  </si>
  <si>
    <t>Коммерция: Уч. пос. / Г.Г. Иванов, С.Л. Орлов. - М.: ИД ФОРУМ:  НИЦ ИНФРА-М, 2024. - 160 с.(ВО) (о)</t>
  </si>
  <si>
    <t>КОММЕРЦИЯ</t>
  </si>
  <si>
    <t>Иванов Г. Г., Орлов С. Л.</t>
  </si>
  <si>
    <t>978-5-8199-0555-5</t>
  </si>
  <si>
    <t>38.02.04, 38.02.03, 38.03.01, 38.03.06, 38.03.07, 38.03.02</t>
  </si>
  <si>
    <t>Рекомендовано кафедрой торговой политики РЭУ им. Г.В. Плеханова в качестве учебного пособия для студентов высших учебных заведений, обучающихя по направлениям «Торговое дело» (бакалвриат), «Экономика» (бакалавриат), «Менеджмент» (бакалавриат)</t>
  </si>
  <si>
    <t>684814.03.01</t>
  </si>
  <si>
    <t>Коммерция: Уч.пос. / Г.Г.Иванов - М.:ИД ФОРУМ, НИЦ ИНФРА-М,2023 - 160 с.-(СПО)(П)</t>
  </si>
  <si>
    <t>Иванов Г.Г., Орлов С.Л.</t>
  </si>
  <si>
    <t>978-5-8199-0807-5</t>
  </si>
  <si>
    <t>38.02.04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</si>
  <si>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</si>
  <si>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167100.07.01</t>
  </si>
  <si>
    <t>Коммерческая деят. предприятий торговли: Уч. пос. / Н.И.Денисова - М.: Магистр:  ИНФРА-М, 2022-480с. (п)</t>
  </si>
  <si>
    <t>КОММЕРЧЕСКАЯ ДЕЯТЕЛЬНОСТЬ ПРЕДПРИЯТИЙ ТОРГОВЛИ</t>
  </si>
  <si>
    <t>Денисова Н. И.</t>
  </si>
  <si>
    <t>978-5-9776-0206-8</t>
  </si>
  <si>
    <t>38.04.06, 38.03.06</t>
  </si>
  <si>
    <t>Допущено УМО по образованию в области коммерции в качестве учебного пособия для студентов высших учебных заведений, обучающихся по специальности "Коммерция (торговое дело)"</t>
  </si>
  <si>
    <t>Российский экономический университет им. Г.В. Плеханова, Краснодарский ф-л</t>
  </si>
  <si>
    <t>171600.12.01</t>
  </si>
  <si>
    <t>Коммерческая деятельность: Уч. / Г.Г.Иванов - М.:ИД ФОРУМ, ИНФРА-М,2024 - 384 с.(ВО)(П)</t>
  </si>
  <si>
    <t>КОММЕРЧЕСКАЯ ДЕЯТЕЛЬНОСТЬ</t>
  </si>
  <si>
    <t>Иванов Г. Г., Холин Е. С.</t>
  </si>
  <si>
    <t>978-5-8199-0939-3</t>
  </si>
  <si>
    <t>38.02.04, 38.02.03, 38.04.06, 38.03.06, 38.03.07</t>
  </si>
  <si>
    <t>Рекомендовано Советом ФЭТТ РЭУ им. Г.В. Плеханова в качестве учебника для студентов вузов, обучающихся по направлению 100700.52 "Торговое дело" (бакалавриат)</t>
  </si>
  <si>
    <t>177250.03.01</t>
  </si>
  <si>
    <t>Коммунальная деят.как сфера общ.благ и естест. моноп. А.Н.Ряховская-М.:Магистр,НИЦ ИНФРА-М,2017-96с.</t>
  </si>
  <si>
    <t>КОММУНАЛЬНАЯ ДЕЯТЕЛЬНОСТЬ КАК СФЕРА ОБЩЕСТВЕННЫХ БЛАГ И ЕСТЕСТВЕННОЙ МОНОПОЛИИ</t>
  </si>
  <si>
    <t>Ряховская А. Н., Таги-Заде Ф. Г.</t>
  </si>
  <si>
    <t>978-5-9776-0213-6</t>
  </si>
  <si>
    <t>38.04.04, 38.06.01, 38.03.04, 44.03.05</t>
  </si>
  <si>
    <t>432800.06.01</t>
  </si>
  <si>
    <t>Коммуникативная эффективность дел.: Моногр. / Л.Г.Павлова-2изд-ИЦ РИОР,НИЦ ИНФРА-М,2023-169(Науч.мысль)</t>
  </si>
  <si>
    <t>КОММУНИКАТИВНАЯ ЭФФЕКТИВНОСТЬ ДЕЛОВОГО ОБЩЕНИЯ, ИЗД.2</t>
  </si>
  <si>
    <t>Павлова Л.Г., Кашаева Е.Ю.</t>
  </si>
  <si>
    <t>978-5-369-01461-5</t>
  </si>
  <si>
    <t>0216</t>
  </si>
  <si>
    <t>273000.07.01</t>
  </si>
  <si>
    <t>Коммуникационный  маркетинг: креативные..: Уч. пос. -М.: ИЦ РИОР, НИЦ ИНФРА-М, 2024 -247с -(ВО:Магистр)(п)</t>
  </si>
  <si>
    <t>КОММУНИКАЦИОННЫЙ  МАРКЕТИНГ: КРЕАТИВНЫЕ СРЕДСТВА И ИНСТРУМЕНТЫ</t>
  </si>
  <si>
    <t>Пономарева А.М.</t>
  </si>
  <si>
    <t>978-5-369-01531-5</t>
  </si>
  <si>
    <t>42.03.01, 43.03.01, 43.03.02, 43.03.03, 27.03.02, 27.03.05, 42.04.01, 38.04.06, 38.04.02, 38.03.06, 38.03.02, 44.03.01, 44.03.05</t>
  </si>
  <si>
    <t>Рекомендовано Учебно-методическим объединением вузов России по образованию в области торгового дела в качестве учебного пособия для студентов высших учебных заведений, обучающихся по направлению «Торговое дело» (квалификакия(степень) «магистр»)</t>
  </si>
  <si>
    <t>Ростовский государственный экономический университет (РИНХ), ф-л в г. Миллерово</t>
  </si>
  <si>
    <t>727650.02.01</t>
  </si>
  <si>
    <t>Конкурентные закупки. Методология и норматив. регулир. / Д.А.Казанцев-М.:НИЦ ИНФРА-М,2022.-324 с.(Науч.мысль)(О)</t>
  </si>
  <si>
    <t>КОНКУРЕНТНЫЕ ЗАКУПКИ. МЕТОДОЛОГИЯ И НОРМАТИВНОЕ РЕГУЛИРОВАНИЕ</t>
  </si>
  <si>
    <t>Казанцев Д.А.</t>
  </si>
  <si>
    <t>978-5-16-015912-6</t>
  </si>
  <si>
    <t>40.04.01, 38.04.01, 38.06.01, 40.06.01, 38.03.01</t>
  </si>
  <si>
    <t>Центр развития экономики</t>
  </si>
  <si>
    <t>288700.04.01</t>
  </si>
  <si>
    <t>Кооперативное предпринимат. как институт соц. развития/В.В.Трошихин-М.:ИЦ РИОР, НИЦ ИНФРА-М,2024.-512 с.(О)</t>
  </si>
  <si>
    <t>КООПЕРАТИВНОЕ ПРЕДПРИНИМАТЕЛЬСТВО КАК ИНСТИТУТ СОЦИАЛЬНОГО РАЗВИТИЯ</t>
  </si>
  <si>
    <t>Трошихин В.В., Матузенко Е.В., Нестерова Л.И.</t>
  </si>
  <si>
    <t>978-5-369-01365-6</t>
  </si>
  <si>
    <t>43.03.01, 38.04.01, 38.04.02, 38.03.01, 38.03.02</t>
  </si>
  <si>
    <t>Белгородский университет кооперации, экономики и права</t>
  </si>
  <si>
    <t>758249.01.01</t>
  </si>
  <si>
    <t>Корпоративная соц. отв. торговых орг.: Уч.пос. / Е.А.Майорова-М.:НИЦ ИНФРА-М,2022.-223 с.(ВО: Бакалавр.)(П)</t>
  </si>
  <si>
    <t>КОРПОРАТИВНАЯ СОЦИАЛЬНАЯ ОТВЕТСТВЕННОСТЬ ТОРГОВЫХ ОРГАНИЗАЦИЙ</t>
  </si>
  <si>
    <t>Майорова Е.А.</t>
  </si>
  <si>
    <t>978-5-16-017058-9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</si>
  <si>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38.03.06 «Торговое дело», 38.03.02 «Менеджмент», 38.03.01 «Экономика» (квалификация (степень) «бакалавр») (протокол № 5 от 11.05.2022)</t>
  </si>
  <si>
    <t>650137.07.01</t>
  </si>
  <si>
    <t>Крым: новый вектор разв.туризма в России:Моногр./Под ред.Шарафутдинова В.Н.-М.:НИЦ ИНФРА-М,2023-364с(П)</t>
  </si>
  <si>
    <t>КРЫМ: НОВЫЙ ВЕКТОР РАЗВИТИЯ ТУРИЗМА В РОССИИ</t>
  </si>
  <si>
    <t>Шарафутдинов В.Н., Яковенко И.М., Позаченюк Е.А. и др.</t>
  </si>
  <si>
    <t>978-5-16-012590-9</t>
  </si>
  <si>
    <t>Российская академия наук</t>
  </si>
  <si>
    <t>173350.06.01</t>
  </si>
  <si>
    <t>Культура маркетинга: Уч.пос. / В.Е.Новаторов - М.:Форум,ИНФРА-М,2023 - 224 с.(ВО)(о)</t>
  </si>
  <si>
    <t>КУЛЬТУРА МАРКЕТИНГА</t>
  </si>
  <si>
    <t>Новаторов В.Е.</t>
  </si>
  <si>
    <t>978-5-91134-589-1</t>
  </si>
  <si>
    <t>38.02.04, 38.02.01, 38.02.03, 42.03.01, 38.03.01, 38.03.02, 44.03.01, 44.03.05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</si>
  <si>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38.03.02 «Менеджмент» 42.03.01 «Реклама и связи с общественностью» (квалификация (степень) «бакалавр»)</t>
  </si>
  <si>
    <t>Санкт-Петербургский государственный институт кино и телевидения</t>
  </si>
  <si>
    <t>684980.03.01</t>
  </si>
  <si>
    <t>Маркетинг в общественном питании: Уч. / Е.С.Григорян.-М.:НИЦ ИНФРА-М,2021.-352 с.(ВО)(П)</t>
  </si>
  <si>
    <t>МАРКЕТИНГ В ОБЩЕСТВЕННОМ ПИТАНИИ</t>
  </si>
  <si>
    <t>Григорян Е.С., Пиканина Г.Т., Соколова Е.А.</t>
  </si>
  <si>
    <t>978-5-16-015320-9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</si>
  <si>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направлениям подготовки 19.03.04 «Технология продукции и организация общественного питания», 38.03.02 «Менеджмент» (профиль «Маркетинг») (квалификация (степень) «бакалавр») (протокол № 11 от 26.10.2020)</t>
  </si>
  <si>
    <t>Пензенский государственный технологический университет</t>
  </si>
  <si>
    <t>071100.13.01</t>
  </si>
  <si>
    <t>Маркетинг в отраслях и сферах деятел.: Уч.пос. / Н.А.Нагапетьянц - 2 изд. - М.:Вуз.уч.,ИНФРА-М,2024 - 282 с.(п)</t>
  </si>
  <si>
    <t>МАРКЕТИНГ В ОТРАСЛЯХ И СФЕРАХ ДЕЯТЕЛЬНОСТИ, ИЗД.2</t>
  </si>
  <si>
    <t>Нагапетьянц Н. А.</t>
  </si>
  <si>
    <t>978-5-9558-0163-6</t>
  </si>
  <si>
    <t>38.03.01, 38.03.06, 38.03.07, 38.03.02, 38.03.04</t>
  </si>
  <si>
    <t>Допущено Мин. обр. и науки РФ в качестве учебного пособия для студентов высших учебных заведений, обучающихся по специальности 080111 "Маркетинг"</t>
  </si>
  <si>
    <t>0210</t>
  </si>
  <si>
    <t>697596.02.01</t>
  </si>
  <si>
    <t>Маркетинг в ракетно-космической сфере: Уч.пос. / Т.Н.Рыжикова - М.:НИЦ ИНФРА-М,2023 - 201 с.(ВО)(П)</t>
  </si>
  <si>
    <t>МАРКЕТИНГ В РАКЕТНО-КОСМИЧЕСКОЙ СФЕРЕ</t>
  </si>
  <si>
    <t>978-5-16-014767-3</t>
  </si>
  <si>
    <t>24.03.01, 38.04.01, 38.04.02, 24.04.01, 38.03.01, 38.03.02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</si>
  <si>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38.03.01 «Экономика», 38.03.02 «Менеджмент», 24.03.01 «Ракетные комплексы и космонавтика» (квалификация (степень) «бакалавр») (протокол № 2 от 03.02.2020)</t>
  </si>
  <si>
    <t>149700.09.01</t>
  </si>
  <si>
    <t>Маркетинг в туризме: Уч. / Под ред. Богданов Е.И.-М.:НИЦ ИНФРА-М,2022.-214 с..-(ВО: Бакалавриат)(п)</t>
  </si>
  <si>
    <t>МАРКЕТИНГ В ТУРИЗМЕ</t>
  </si>
  <si>
    <t>Абабков Ю.Н., Абабкова М.Ю., Филиппова И.Г. и др.</t>
  </si>
  <si>
    <t>978-5-16-010337-2</t>
  </si>
  <si>
    <t>682968.05.01</t>
  </si>
  <si>
    <t>Маркетинг в туризме: Уч. / Под ред. Богданова Е.И. - М.:НИЦ ИНФРА-М,2023 - 214 с.(СПО)(П)</t>
  </si>
  <si>
    <t>978-5-16-013962-3</t>
  </si>
  <si>
    <t>126660.11.01</t>
  </si>
  <si>
    <t>Маркетинг в туризме: Уч. пос./ А.П. Дурович - М.: НИЦ ИНФРА-М, 2023 - 316 с. (ВО: Бакалавриат). (п)</t>
  </si>
  <si>
    <t>Дурович А. П.</t>
  </si>
  <si>
    <t>978-5-16-009967-5</t>
  </si>
  <si>
    <t>Рекомендовано УМО по образованию в области сервиса и туризма в качестве учебного пособия для студентов вузов, обучающихся по специальности 100103 - Социально-культурный сервис и туризм</t>
  </si>
  <si>
    <t>763470.02.01</t>
  </si>
  <si>
    <t>Маркетинг В2В: Уч.пос. / Под ред. Бек Н.Н. - 2 изд. - М.:НИЦ ИНФРА-М,2023 - 392 с.(ВО: Магистратура)(П)</t>
  </si>
  <si>
    <t>МАРКЕТИНГ В2В, ИЗД.2</t>
  </si>
  <si>
    <t>Бек М.А., Бек Н.Н.</t>
  </si>
  <si>
    <t>978-5-16-017157-9</t>
  </si>
  <si>
    <t>38.04.01, 38.04.08, 38.04.02</t>
  </si>
  <si>
    <t>0221</t>
  </si>
  <si>
    <t>343800.06.01</t>
  </si>
  <si>
    <t>Маркетинг гостиничного предприятия. Практ. / Л.В.Баумгартен-М.:Вуз. уч., НИЦ ИНФРА-М,2024.-216 с.(П)</t>
  </si>
  <si>
    <t>МАРКЕТИНГ ГОСТИНИЧНОГО ПРЕДПРИЯТИЯ. ПРАКТИКУМ</t>
  </si>
  <si>
    <t>Баумгартен Л.В.</t>
  </si>
  <si>
    <t>978-5-9558-0425-5</t>
  </si>
  <si>
    <t>Московский государственный лингвистический университет</t>
  </si>
  <si>
    <t>670850.02.01</t>
  </si>
  <si>
    <t>Маркетинг гостиничного предприятия: Уч.пос. / И.С.Ключевская - М.:НИЦ ИНФРА-М,2022 - 236 с.-(ВО)(П)</t>
  </si>
  <si>
    <t>МАРКЕТИНГ ГОСТИНИЧНОГО ПРЕДПРИЯТИЯ</t>
  </si>
  <si>
    <t>Ключевская И.С.</t>
  </si>
  <si>
    <t>978-5-16-014427-6</t>
  </si>
  <si>
    <t>43.03.03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</si>
  <si>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43.03.03 «Гостиничное дело», 43.04.01 «Сервис», 43.04.02 «Туризм» (протокол № 9 от 13.05.2019)</t>
  </si>
  <si>
    <t>719420.02.01</t>
  </si>
  <si>
    <t>Маркетинг гостиничного предприятия: Уч.пос. / И.С.Ключевская - М.:НИЦ ИНФРА-М,2022 - 236 с.-(СПО)(П)</t>
  </si>
  <si>
    <t>978-5-16-015631-6</t>
  </si>
  <si>
    <t>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</si>
  <si>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</si>
  <si>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423950.07.01</t>
  </si>
  <si>
    <t>Маркетинг для инженеров: Уч. пос. / В.Д.Сыров - М.: ИЦ РИОР:  НИЦ ИНФРА-М, 2024-133с.(ВО: Бакалавр.)(П)</t>
  </si>
  <si>
    <t>МАРКЕТИНГ ДЛЯ ИНЖЕНЕРОВ</t>
  </si>
  <si>
    <t>Сыров В. Д.</t>
  </si>
  <si>
    <t>978-5-369-01180-5</t>
  </si>
  <si>
    <t>38.02.04, 38.02.01, 38.02.03, 11.03.01, 11.03.02, 11.03.03, 11.03.04, 11.04.04, 11.04.03, 11.04.01, 11.04.02, 11.05.01, 11.05.02, 44.03.01, 44.03.05, 11.05.04</t>
  </si>
  <si>
    <t>337200.05.01</t>
  </si>
  <si>
    <t>Маркетинг для магистров: Уч. / Под общ. ред.И.М.Синяевой - М.:Вуз. уч., НИЦ ИНФРА-М,2024.-368 с.(П)</t>
  </si>
  <si>
    <t>МАРКЕТИНГ ДЛЯ МАГИСТРОВ</t>
  </si>
  <si>
    <t>978-5-9558-0419-4</t>
  </si>
  <si>
    <t>263500.07.01</t>
  </si>
  <si>
    <t>Маркетинг и современность: Моногр. / С.В.Карпова-М.:Вуз. уч., НИЦ ИНФРА-М,2024-267с.(Научная книга)(о)</t>
  </si>
  <si>
    <t>МАРКЕТИНГ И СОВРЕМЕННОСТЬ</t>
  </si>
  <si>
    <t>Карпова С. В., Азарова С. П., Арский А. А., Карпова С. В.</t>
  </si>
  <si>
    <t>Научная книга</t>
  </si>
  <si>
    <t>978-5-9558-0361-6</t>
  </si>
  <si>
    <t>35.03.03, 27.03.02, 29.03.02, 19.03.04, 38.04.02, 38.04.05, 23.03.01, 23.03.03, 17.03.01, 26.03.02, 38.03.05, 38.03.02, 44.03.01, 44.03.05, 35.03.04, 52.03.01, 41.03.06</t>
  </si>
  <si>
    <t>677785.04.01</t>
  </si>
  <si>
    <t>Маркетинг инновационно-технологических стартапов.../ Б.Е.Токарев-М.:Магистр, НИЦ ИНФРА-М,2024-264с(о)</t>
  </si>
  <si>
    <t>МАРКЕТИНГ ИННОВАЦИОННО-ТЕХНОЛОГИЧЕСКИХ СТАРТАПОВ: ОТ ТЕХНОЛОГИИ ДО КОММЕРЧЕСКОГО РЕЗУЛЬТАТА</t>
  </si>
  <si>
    <t>Токарев Б.Е.</t>
  </si>
  <si>
    <t>978-5-9776-0572-4</t>
  </si>
  <si>
    <t>38.03.06</t>
  </si>
  <si>
    <t>408500.05.01</t>
  </si>
  <si>
    <t>Маркетинг коммерции. Практикум: Уч. пос./И.М.Синяева - М.: Вузов. учеб.:  НИЦ ИНФРА-М, 2023-184с. (п)</t>
  </si>
  <si>
    <t>МАРКЕТИНГ КОММЕРЦИИ. ПРАКТИКУМ</t>
  </si>
  <si>
    <t>Синяева И. М., Мишулин Г. М., Фойгель М. А., Константиниди Х. А., Синяева И. М.</t>
  </si>
  <si>
    <t>978-5-9558-0277-0</t>
  </si>
  <si>
    <t>38.02.04, 38.02.01, 38.02.03, 38.04.07, 38.04.01, 38.04.06, 38.04.02, 38.04.04, 38.03.01, 38.03.06, 38.03.07, 38.03.02, 38.03.04, 44.03.01, 44.03.05</t>
  </si>
  <si>
    <t>Допущено УМО по образованию в области коммерции и по образованию в области маркетинга в качестве учебного пособия для студентов высших учебных заведений, обучающихся по специальности 080111 - Маркетинг и по направлению 100700 - Торговое дело</t>
  </si>
  <si>
    <t>182150.06.01</t>
  </si>
  <si>
    <t>Маркетинг на предпр. и в корпорациях...: Моногр. / Под ред. Смирнова К.А. - М.:НИЦ ИНФРА-М,2022-166с(О)</t>
  </si>
  <si>
    <t>МАРКЕТИНГ НА ПРЕДПРИЯТИЯХ И В КОРПОРАЦИЯХ: ТЕОРИЯ И ПРАКТИКА</t>
  </si>
  <si>
    <t>Никитина Т.Е., Смирнов К.А., Смирнов К.А.</t>
  </si>
  <si>
    <t>978-5-16-005497-1</t>
  </si>
  <si>
    <t>38.04.01, 38.04.02, 38.03.01, 38.03.02, 41.03.06</t>
  </si>
  <si>
    <t>Международный славянский институт</t>
  </si>
  <si>
    <t>407950.06.01</t>
  </si>
  <si>
    <t>Маркетинг на финансовом рынке:Уч.пос. / К.А.Смирнов-М.:НИЦ ИНФРА-М,2023.-207 с..-(ВО: Бакалавриат)(П)</t>
  </si>
  <si>
    <t>МАРКЕТИНГ НА ФИНАНСОВОМ РЫНКЕ</t>
  </si>
  <si>
    <t>Смирнов К.А., Никитина Т.Е.</t>
  </si>
  <si>
    <t>978-5-16-005579-4</t>
  </si>
  <si>
    <t>38.02.04, 38.02.01, 38.02.03, 38.04.01, 38.04.08, 38.04.02, 38.03.01, 38.03.02, 44.03.01, 44.03.05, 41.03.06</t>
  </si>
  <si>
    <t>Рекомендовано ФБГОУ ВПО «государстеенный университет управления» в качестве учебного пособия для студентов высших учебных заведений, обучающихся по направлению подготовки 38.03.01 (080100) «Экономика» (квалификация (степень) "бакалавр»). Регистр, ном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</si>
  <si>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</si>
  <si>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</si>
  <si>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</si>
  <si>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</si>
  <si>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</si>
  <si>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42.01.01, 42.02.01</t>
  </si>
  <si>
    <t>0215</t>
  </si>
  <si>
    <t>135150.10.01</t>
  </si>
  <si>
    <t>Маркетинг розничного торг. предпр.: Уч.пос. / Г.А.Васильев-М.:Вуз. уч., НИЦ ИНФРА-М,2024.-159 с.(ВО)(п)</t>
  </si>
  <si>
    <t>МАРКЕТИНГ РОЗНИЧНОГО ТОРГОВОГО ПРЕДПРИЯТИЯ</t>
  </si>
  <si>
    <t>Васильев Г. А., Романов А. А., Поляков В. А.</t>
  </si>
  <si>
    <t>978-5-9558-0152-0</t>
  </si>
  <si>
    <t>38.04.06, 38.03.06, 38.03.02</t>
  </si>
  <si>
    <t>684818.02.01</t>
  </si>
  <si>
    <t>Маркетинг розничного торгового предпр: Уч.пос. / Г.А.Васильев - М.:Вуз. уч., НИЦ ИНФРА-М,2023 - 159 с.(П)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</si>
  <si>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</si>
  <si>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</si>
  <si>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</si>
  <si>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ПО2</t>
  </si>
  <si>
    <t>804950.01.01</t>
  </si>
  <si>
    <t>Маркетинг рыночных ниш: Уч.пос. / Б.Е.Токарев-М.:Магистр, НИЦ ИНФРА-М,2023.-124 с.(п)</t>
  </si>
  <si>
    <t>МАРКЕТИНГ РЫНОЧНЫХ НИШ</t>
  </si>
  <si>
    <t>978-5-9776-0553-3</t>
  </si>
  <si>
    <t>Апрель, 2023</t>
  </si>
  <si>
    <t>404050.06.01</t>
  </si>
  <si>
    <t>Маркетинг сферы услуг: Уч. пос. / С.Н. Диянова, - М.: Магистр:  НИЦ Инфра-М, 2023-192с. (о)</t>
  </si>
  <si>
    <t>МАРКЕТИНГ СФЕРЫ УСЛУГ</t>
  </si>
  <si>
    <t>Диянова С. Н., Штезель А. Э.</t>
  </si>
  <si>
    <t>978-5-9776-0240-2</t>
  </si>
  <si>
    <t>43.03.01, 43.03.02, 43.03.03, 38.03.06, 38.03.02</t>
  </si>
  <si>
    <t>095160.15.01</t>
  </si>
  <si>
    <t>Маркетинг товаров и услуг: Уч.пос. / А.В.Лукина, - 2 изд.-М.:Форум, НИЦ ИНФРА-М,2022.-239 с.(СПО)(П)</t>
  </si>
  <si>
    <t>МАРКЕТИНГ ТОВАРОВ И УСЛУГ, ИЗД.2</t>
  </si>
  <si>
    <t>Лукина А. В.</t>
  </si>
  <si>
    <t>978-5-00091-686-5</t>
  </si>
  <si>
    <t>38.02.04, 38.02.05, 38.02.06, 38.02.07, 38.02.01, 38.02.02, 38.02.03, 44.03.01, 44.03.05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</si>
  <si>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</si>
  <si>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120050.10.01</t>
  </si>
  <si>
    <t>Маркетинг туризма: Уч. пос. / Е.Н. Кнышова. - М.: ИД ФОРУМ:  ИНФРА-М, 2023. - 352 с. 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</si>
  <si>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</si>
  <si>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</si>
  <si>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</si>
  <si>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</si>
  <si>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176200.10.01</t>
  </si>
  <si>
    <t>Маркетинг услуг: Уч. / Т.А. Тультаев - М.: НИЦ Инфра-М, 2024 - 208 с. - (ВО) (П)</t>
  </si>
  <si>
    <t>МАРКЕТИНГ УСЛУГ</t>
  </si>
  <si>
    <t>Тультаев Т. А.</t>
  </si>
  <si>
    <t>978-5-16-005021-8</t>
  </si>
  <si>
    <t>38.02.04, 38.02.01, 38.02.03, 38.04.08, 38.04.06, 38.03.06, 38.03.02, 44.03.01, 44.03.05</t>
  </si>
  <si>
    <t>Рекомендовано ФГБОУ ВПО "Государственный университет управления" в качестве учебного пособия для студентов вузов, обучающихся по направлению 080111 "Маркетинг услуг"</t>
  </si>
  <si>
    <t>015496.23.01</t>
  </si>
  <si>
    <t>Маркетинг: курс лекций: Уч.пос. / Л.Е.Басовский - М.:НИЦ ИНФРА-М,2024.-219 с.(ВО)(о)</t>
  </si>
  <si>
    <t>МАРКЕТИНГ: КУРС ЛЕКЦИЙ</t>
  </si>
  <si>
    <t>Басовский Л.Е.</t>
  </si>
  <si>
    <t>978-5-16-019182-9</t>
  </si>
  <si>
    <t>38.03.10, 56.05.01, 42.03.01, 43.03.01, 43.03.02, 43.03.03, 35.03.03, 27.03.02, 29.03.02, 19.03.03, 19.03.04, 55.05.04, 38.05.01, 24.05.06, 23.05.01, 27.05.01, 18.05.02, 23.03.01, 23.03.03, 17.03.01, 26.03.02, 35.03.07, 38.03.01, 38.03.05, 38.03.06, 38.03.07, 38.03.02, 38.03.04, 38.03.03, 37.03.02, 44.03.01, 44.03.05, 35.03.04, 52.03.01, 41.03.02, 41.03.06, 42.03.04</t>
  </si>
  <si>
    <t>Рекомендовано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</si>
  <si>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Тульский государственный педагогический университет им. Л.Н. Толстого</t>
  </si>
  <si>
    <t>0199</t>
  </si>
  <si>
    <t>721141.05.01</t>
  </si>
  <si>
    <t>Маркетинг: ситуационные задачи и тесты: практикум / М.Б.Щепакин - М.:Магистр, НИЦ ИНФРА-М,2023-512 с.(П)</t>
  </si>
  <si>
    <t>МАРКЕТИНГ</t>
  </si>
  <si>
    <t>Щепакин М.Б., Михайлова В.М., Куренова Д.Г. и др.</t>
  </si>
  <si>
    <t>978-5-9776-0524-3</t>
  </si>
  <si>
    <t>38.03.01, 38.03.02</t>
  </si>
  <si>
    <t>Кубанский государственный технологический университет</t>
  </si>
  <si>
    <t>700041.04.01</t>
  </si>
  <si>
    <t>Маркетинг: создание и донесение потребит. ценности: Уч. / И.И.Скоробогатых-М.:НИЦ ИНФРА-М,2024-589с</t>
  </si>
  <si>
    <t>МАРКЕТИНГ: СОЗДАНИЕ И ДОНЕСЕНИЕ ПОТРЕБИТЕЛЬСКОЙ ЦЕННОСТИ</t>
  </si>
  <si>
    <t>Скоробогатых И.И., Сидорчук Р.Р., Андреев С.Н. и др.</t>
  </si>
  <si>
    <t>978-5-16-019085-3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</si>
  <si>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бакалавр») (протокол № 13 от 16.09.2019)</t>
  </si>
  <si>
    <t>113900.15.01</t>
  </si>
  <si>
    <t>Маркетинг: Уч. / Б.А.Соловьев и др. - М.:НИЦ ИНФРА-М,2024 - 337 с.-(ВО)(п)</t>
  </si>
  <si>
    <t>Соловьев Б.А., Мешков А.А., Мусатов Б.В.</t>
  </si>
  <si>
    <t>978-5-16-019076-1</t>
  </si>
  <si>
    <t>38.03.01, 38.03.06, 38.03.02</t>
  </si>
  <si>
    <t>Рекомендовано Учебно-методическим объединением по образованию в области экономики и экономической теории в качестве учебника для студентов высших учебных заведений, обучающихся по направлению 38.03.01 «Экономика» и экономическим специальностям</t>
  </si>
  <si>
    <t>060900.14.01</t>
  </si>
  <si>
    <t>Маркетинг: Уч. / Б.А.Соловьев-М.:ИНФРА-М Издательский Дом,2024.-383 с.(Уч.и для программы MBA)(п)</t>
  </si>
  <si>
    <t>Соловьев Б. А.</t>
  </si>
  <si>
    <t>Учебники для программы MBA</t>
  </si>
  <si>
    <t>978-5-16-002263-5</t>
  </si>
  <si>
    <t>38.04.01, 38.04.02, 38.04.04, 38.06.01</t>
  </si>
  <si>
    <t>Допущено Министерством образования РФ в качестве учебного пособия для слушателей образовательных учреждений, обучающихся по программе MBA и другим программам подготовки управленческих кадров</t>
  </si>
  <si>
    <t>168800.06.01</t>
  </si>
  <si>
    <t>Маркетинг: Уч. / В.В. Кислицына - М.: ИД ФОРМ: ИНФРА-М, 2024 - 464 с.(ВО) (п)</t>
  </si>
  <si>
    <t>Кислицына В.В.</t>
  </si>
  <si>
    <t>978-5-8199-0954-6</t>
  </si>
  <si>
    <t>38.03.01, 38.03.06, 38.03.02, 44.03.01, 44.03.05</t>
  </si>
  <si>
    <t>Вятский государственный университет</t>
  </si>
  <si>
    <t>356600.03.01</t>
  </si>
  <si>
    <t>Маркетинг: Уч. / В.Н.Наумов - М.:НИЦ ИНФРА-М,2020 - 320с. (ВО:Бакалавриат)(п)</t>
  </si>
  <si>
    <t>Наумов В.Н.</t>
  </si>
  <si>
    <t>978-5-16-010921-3</t>
  </si>
  <si>
    <t>38.02.04, 38.02.01, 38.02.03, 38.03.06, 44.03.01, 44.03.05</t>
  </si>
  <si>
    <t>Рекомендовано в качестве учебника для студентов высших учебных заведений, обучающихся по направлениям подготовки 38.03.06 «Торговое дело», 38.03.01 «Экономика» и 38.03.02 «Менеджмент» (квалификация (степень) «бакалавр»)</t>
  </si>
  <si>
    <t>Санкт-Петербургский государственный экономический университет</t>
  </si>
  <si>
    <t>356600.08.01</t>
  </si>
  <si>
    <t>Маркетинг: Уч. / В.Н.Наумов, - 2 изд.-М.:НИЦ ИНФРА-М,2023.-410 с.(ВО: Бакалавриат)(П)</t>
  </si>
  <si>
    <t>МАРКЕТИНГ, ИЗД.2</t>
  </si>
  <si>
    <t>978-5-16-016723-7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</si>
  <si>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38.04.02 «Менеджмент», 38.04.06 «Торговое дело» (квалификация (степень) «бакалавр») (протокол № 1 от 12.01.2022)</t>
  </si>
  <si>
    <t>707549.03.01</t>
  </si>
  <si>
    <t>Маркетинг: Уч. / Н.В.Дмитриева - М.:ИЦ РИОР, НИЦ ИНФРА-М, 2023.-240 с.(СПО)(П)</t>
  </si>
  <si>
    <t>Дмитриева Н.В., Габинская О.С.</t>
  </si>
  <si>
    <t>978-5-369-01811-8</t>
  </si>
  <si>
    <t>00.02.38</t>
  </si>
  <si>
    <t>189700.09.01</t>
  </si>
  <si>
    <t>Маркетинг: Уч. / Под ред. В.П. Третьяка. - М.: Магистр:  НИЦ Инфра-М, 2024. - 368 с.(Бакалавр.) (п)</t>
  </si>
  <si>
    <t>Третьяк В. П.</t>
  </si>
  <si>
    <t>978-5-9776-0238-9</t>
  </si>
  <si>
    <t>38.02.04, 38.02.01, 38.02.03, 42.03.01, 35.03.03, 27.03.02, 29.03.02, 19.03.04, 38.04.05, 23.03.01, 23.03.03, 17.03.01, 26.03.02, 38.03.05, 38.03.02, 44.03.01, 44.03.05, 35.03.04, 52.03.01, 41.03.06</t>
  </si>
  <si>
    <t>Допущено Учебно-метод. объед. по образ. в области коммерции и маркетингв в качестве учебника для студентов ВУЗов, обучающихся по специальностям 080301 "Коммерция (Торговое дело)", 032401 "Реклама", 080111 "Маркетинг" и напр. 100700.62 "Торговое дело"</t>
  </si>
  <si>
    <t>674467.05.01</t>
  </si>
  <si>
    <t>Маркетинг: Уч. / С.У.Нуралиев - М.:НИЦ ИНФРА-М,2024 - 305 с.-(ВО: Бакалавриат)(П)</t>
  </si>
  <si>
    <t>Нуралиев С.У.</t>
  </si>
  <si>
    <t>978-5-16-013783-4</t>
  </si>
  <si>
    <t>56.05.01, 38.02.04, 38.02.01, 38.02.03, 35.03.03, 27.03.02, 29.03.02, 19.03.04, 23.03.01, 23.03.03, 17.03.01, 26.03.02, 38.03.05, 38.03.02, 44.03.01, 44.03.05, 35.03.04, 52.03.01, 41.03.06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</si>
  <si>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</si>
  <si>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Союз рынков России</t>
  </si>
  <si>
    <t>145700.06.01</t>
  </si>
  <si>
    <t>Маркетинг: Уч. пос. / Под ред. проф. И.М. Синяевой. - М.: Вузовский учебник:  ИНФРА-М, 2024-384с. (п)</t>
  </si>
  <si>
    <t>Синяева И. М.</t>
  </si>
  <si>
    <t>978-5-9558-0183-4</t>
  </si>
  <si>
    <t>38.02.04, 38.02.01, 38.02.03, 38.04.06, 38.03.01, 38.03.06, 38.03.02, 44.03.01, 44.03.05</t>
  </si>
  <si>
    <t>Рекомендовано Научно-методическим советом по заочному экономическому образованию в качестве учебного пособия для магистров, аспирантов и специалистов, осуществляющих маркетинговую деятельность</t>
  </si>
  <si>
    <t>071450.15.01</t>
  </si>
  <si>
    <t>Маркетинг: Уч.пос. / А.В.Лукина - 3 изд. - М.:Форум, НИЦ ИНФРА-М,2024 - 238 с.-(СПО)(П)</t>
  </si>
  <si>
    <t>МАРКЕТИНГ, ИЗД.3</t>
  </si>
  <si>
    <t>Лукина А.В.</t>
  </si>
  <si>
    <t>978-5-00091-694-0</t>
  </si>
  <si>
    <t>38.02.04, 38.02.05, 38.02.06, 38.02.07, 38.02.01, 38.02.02, 38.02.03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</si>
  <si>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</si>
  <si>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0313</t>
  </si>
  <si>
    <t>097750.09.01</t>
  </si>
  <si>
    <t>Маркетинг: Уч.пос. / Б.И.Герасимов и др., - 2 изд.-М.:НИЦ ИНФРА-М,2024.-320 с.(СПО)(п)</t>
  </si>
  <si>
    <t>Герасимов Б. И., Жариков В. В., Жарикова М. В.</t>
  </si>
  <si>
    <t>978-5-16-018783-9</t>
  </si>
  <si>
    <t>38.00.00, 38.02.04, 38.02.05, 38.02.06, 38.02.01, 38.02.03, 38.03.01, 38.03.02, 44.03.01, 44.03.05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</si>
  <si>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</si>
  <si>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</si>
  <si>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</si>
  <si>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</si>
  <si>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</si>
  <si>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</si>
  <si>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157600.09.01</t>
  </si>
  <si>
    <t>Маркетинг: Уч.пос. / Г.А.Резник - 4 изд. - М.:НИЦ ИНФРА-М,2023 - 199 с.-(ВО: Бакалавриат)(П)</t>
  </si>
  <si>
    <t>МАРКЕТИНГ, ИЗД.4</t>
  </si>
  <si>
    <t>Резник Г.А.</t>
  </si>
  <si>
    <t>978-5-16-016830-2</t>
  </si>
  <si>
    <t>Рекомендовано Советом Учебно-методического объединения вузов России по образованию в области менеджмента в качестве учебного пособия по направлению 38.03.02 «Менеджмент»</t>
  </si>
  <si>
    <t>0421</t>
  </si>
  <si>
    <t>753715.02.01</t>
  </si>
  <si>
    <t>Маркетинг: Уч.пос. / Г.А.Резник - 4 изд. - М.:НИЦ ИНФРА-М,2023 - 199 с.-(СПО)(п)</t>
  </si>
  <si>
    <t>978-5-16-018914-7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</si>
  <si>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</si>
  <si>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0423</t>
  </si>
  <si>
    <t>753715.01.01</t>
  </si>
  <si>
    <t>Маркетинг: Уч.пос. / Г.А.Резник - М.:НИЦ ИНФРА-М,2021 - 199 с.(СПО)(П)</t>
  </si>
  <si>
    <t>978-5-16-016833-3</t>
  </si>
  <si>
    <t>114200.11.01</t>
  </si>
  <si>
    <t>Маркетинг: Уч.пос. / Л.Е.Басовский - 3 изд. - М.:НИЦ ИНФРА-М,2024 - 233 с.(ВО)(п)</t>
  </si>
  <si>
    <t>Басовский Л.Е., Басовская Е.Н.</t>
  </si>
  <si>
    <t>978-5-16-019248-2</t>
  </si>
  <si>
    <t>38.02.04, 38.02.01, 38.02.03, 42.03.01, 35.03.03, 27.03.02, 29.03.02, 19.03.04, 38.04.01, 38.04.02, 23.03.01, 23.03.03, 38.03.01, 38.03.02, 44.03.01, 44.03.05, 35.03.04, 41.03.06</t>
  </si>
  <si>
    <t>Допущено Учебно-методическим объединением по образованию в области менеджмента в качестве учебного пособия для студентов  высших учебных заведений, обучающихся по направлению 38.03.02 «Менеджмент»</t>
  </si>
  <si>
    <t>0316</t>
  </si>
  <si>
    <t>051250.08.01</t>
  </si>
  <si>
    <t>Маркетинг: Уч.пос. / М.И.Тимофеев - 3 изд. - М.:ИЦ РИОР, НИЦ ИНФРА-М,2018-223 с(ВПО: Бакалавр.)(О)</t>
  </si>
  <si>
    <t>Тимофеев М.И.</t>
  </si>
  <si>
    <t>ВПО: Бакалавриат</t>
  </si>
  <si>
    <t>978-5-369-00402-9</t>
  </si>
  <si>
    <t>38.03.01, 38.03.02, 41.03.06</t>
  </si>
  <si>
    <t>Национальный институт бизнеса</t>
  </si>
  <si>
    <t>0309</t>
  </si>
  <si>
    <t>634151.02.01</t>
  </si>
  <si>
    <t>Маркетинг: Уч.пос. / Н.В.Дмитриева - М.:ИЦ РИОР, НИЦ ИНФРА-М, 2023.-240 с..-(ВО)(П)</t>
  </si>
  <si>
    <t>978-5-369-01775-3</t>
  </si>
  <si>
    <t>071360.06.01</t>
  </si>
  <si>
    <t>Маркетинг: Шпаргалка. - М.: ИЦ РИОР. - 50 с. (Шпаргалка [разрезная]) (о)</t>
  </si>
  <si>
    <t>Шпаргалка [разрезная]</t>
  </si>
  <si>
    <t>978-5-9557-0347-3</t>
  </si>
  <si>
    <t>647830.07.01</t>
  </si>
  <si>
    <t>Маркетинг: экономика, финансы, контроллинг: Уч.пос. / Т.Н.Рыжикова-М.:НИЦ ИНФРА-М,2023-225с(ВО:Бак.)</t>
  </si>
  <si>
    <t>МАРКЕТИНГ: ЭКОНОМИКА, ФИНАНСЫ, КОНТРОЛЛИНГ</t>
  </si>
  <si>
    <t>978-5-16-012515-2</t>
  </si>
  <si>
    <t>38.02.04, 38.02.01, 38.02.03, 38.03.01, 38.03.06, 38.03.02, 44.03.01, 44.03.05</t>
  </si>
  <si>
    <t>Рекомендовано в качестве учебного пособия для студентов высших учебных заведений, обучающихся по направлению подготовки 38.03.02 «Менеджмент» (квалификация (степень) «бакалавр»)</t>
  </si>
  <si>
    <t>028764.14.01</t>
  </si>
  <si>
    <t>Маркетинговое исслед.: информ., анализ...: Уч.пос. / И.К.Беляевский, - 2 изд.-М.:КУРС, НИЦ ИНФРА-М,2020.-392 с</t>
  </si>
  <si>
    <t>МАРКЕТИНГОВОЕ ИССЛЕДОВАНИЕ: ИНФОРМАЦИЯ, АНАЛИЗ, ПРОГНОЗ, ИЗД.2</t>
  </si>
  <si>
    <t>Беляевский И. К.</t>
  </si>
  <si>
    <t>КУРС</t>
  </si>
  <si>
    <t>978-5-905554-08-7</t>
  </si>
  <si>
    <t>42.03.01, 38.03.01, 38.03.02, 44.03.01, 44.03.05, 41.03.06</t>
  </si>
  <si>
    <t>Рекомендовано Учебно-методическим объединением по образованию в области коммерции, маркетинга и рекламы в качестве учебного пособия для студентов, обучающихся по Специальности "Маркетинг"</t>
  </si>
  <si>
    <t>Евразийский открытый институт</t>
  </si>
  <si>
    <t>431880.06.01</t>
  </si>
  <si>
    <t>Маркетинговые исслед. рыноч. ниш инновац. продуктов /Б.Е. Токарев -М.: Магистр, НИЦ ИНФРА-М, 2023 -272с(О)</t>
  </si>
  <si>
    <t>МАРКЕТИНГОВЫЕ ИССЛЕДОВАНИЯ РЫНОЧНЫХ НИШ ИННОВАЦИОННЫХ ПРОДУКТОВ</t>
  </si>
  <si>
    <t>Токарев Б. Е.</t>
  </si>
  <si>
    <t>978-5-9776-0270-9</t>
  </si>
  <si>
    <t>38.04.01, 38.04.06, 38.03.02, 44.03.01, 44.03.05</t>
  </si>
  <si>
    <t>077750.13.01</t>
  </si>
  <si>
    <t>Маркетинговые исслед. с SPSS: Уч.пос. / Г.Моосмюллер, - 2 изд.-М.:НИЦ ИНФРА-М,2024.-200 с.(ВО: Бакалавр.)(о)</t>
  </si>
  <si>
    <t>МАРКЕТИНГОВЫЕ ИССЛЕДОВАНИЯ С SPSS, ИЗД.2</t>
  </si>
  <si>
    <t>Моосмюллер Г., Ребик Н. Н.</t>
  </si>
  <si>
    <t>978-5-16-018759-4</t>
  </si>
  <si>
    <t>38.04.01, 38.04.06, 38.04.02, 38.03.01, 38.03.06, 38.03.02</t>
  </si>
  <si>
    <t>Допущено Советом ¶Учебно-методического объединения ¶вузов России по образованию в области менеджмента в качестве учебного пособия для студентов высших учебных заведений, обучающихся по специальности «Маркетинг»</t>
  </si>
  <si>
    <t>0211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</si>
  <si>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</si>
  <si>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</si>
  <si>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</si>
  <si>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</si>
  <si>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</si>
  <si>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38.02.04, 38.02.01, 38.02.02, 38.02.03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</si>
  <si>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</si>
  <si>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251900.08.01</t>
  </si>
  <si>
    <t>Маркетинговые исследования: Практикум / В.Т. Гришина - М.: Вуз. уч.:  НИЦ ИНФРА-М, 2021. - 58 с.</t>
  </si>
  <si>
    <t>МАРКЕТИНГОВЫЕ ИССЛЕДОВАНИЯ: ПРАКТИКУМ</t>
  </si>
  <si>
    <t>Гришина В. Т.</t>
  </si>
  <si>
    <t>978-5-9558-0348-7</t>
  </si>
  <si>
    <t>061660.14.01</t>
  </si>
  <si>
    <t>Маркетинговые исследования: Уч. пос. / Н.Г.Каменева - 2изд. - М: Вуз.уч.:НИЦ Инфра-М,2024 - 368 с. (П)</t>
  </si>
  <si>
    <t>МАРКЕТИНГОВЫЕ ИССЛЕДОВАНИЯ, ИЗД.2</t>
  </si>
  <si>
    <t>Каменева Н. Г., Поляков В. А.</t>
  </si>
  <si>
    <t>978-5-9558-0233-6</t>
  </si>
  <si>
    <t>Допущено Советом Учебно-методического объединения вузов России по образованию в области менеджмента в качестве учебного пособия по специальности Маркетинг</t>
  </si>
  <si>
    <t>Московский авиационный институт (национальный исследовательский университет)</t>
  </si>
  <si>
    <t>336400.05.01</t>
  </si>
  <si>
    <t>Маркетинговые исследования: Уч.пос. / А.Г.Зайцев - М.:ИЦ РИОР, НИЦ ИНФРА-М,2023-88с.(ВО:Бакалавр.)(О)</t>
  </si>
  <si>
    <t>МАРКЕТИНГОВЫЕ ИССЛЕДОВАНИЯ</t>
  </si>
  <si>
    <t>Зайцев А.Г., Такмакова Е.В.</t>
  </si>
  <si>
    <t>978-5-369-01444-8</t>
  </si>
  <si>
    <t>42.03.01, 42.04.01, 38.04.01, 38.04.06, 38.03.01, 38.03.06, 38.03.02</t>
  </si>
  <si>
    <t>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заведений, обучающихся по направлению подготовки «Торговое дело»</t>
  </si>
  <si>
    <t>Орловский государственный университет им. И.С. Тургенева</t>
  </si>
  <si>
    <t>458400.04.01</t>
  </si>
  <si>
    <t>Маркетинговые коммуникации в сфере услуг..:Моногр./А.В.Христофоров -М.:ИЦ РИОР,НИЦ ИНФРА-М,2020-160с.(Научная мысль) (О)</t>
  </si>
  <si>
    <t>МАРКЕТИНГОВЫЕ КОММУНИКАЦИИ В СФЕРЕ УСЛУГ:СПЕЦИФИКА ПРИМЕНЕНИЯ И ИННОВАЦИОННЫЕ ПОДХОДЫ</t>
  </si>
  <si>
    <t>Христофоров А.В., Христофорова И.В., Подрезов А.А. и др.</t>
  </si>
  <si>
    <t>978-5-369-01490-5</t>
  </si>
  <si>
    <t>42.03.01, 43.03.01, 43.03.02, 43.03.03, 38.03.02, 44.03.01, 44.03.05</t>
  </si>
  <si>
    <t>152600.09.01</t>
  </si>
  <si>
    <t>Маркетинговые коммуникации: Уч. / А.А.Романов - М.:Вуз.уч.;ИНФРА-М,2023 - 384 с. (П)</t>
  </si>
  <si>
    <t>МАРКЕТИНГОВЫЕ КОММУНИКАЦИИ</t>
  </si>
  <si>
    <t>Романов А. А., Синяева И. М., Поляков В. А.</t>
  </si>
  <si>
    <t>978-5-9558-0194-0</t>
  </si>
  <si>
    <t>38.04.06, 38.04.02, 38.04.04, 38.03.06, 38.03.02, 38.03.04, 41.03.06</t>
  </si>
  <si>
    <t>Рекомендовано Учебно-методического объединения по образованию в области маркетинга в качестве учебника для студентов вузов, обучающихся по специальности 080111 "Маркетинг"</t>
  </si>
  <si>
    <t>741773.01.01</t>
  </si>
  <si>
    <t>Маркетинговые коммуникации: Уч. / Е.С.Григорян - М.:НИЦ ИНФРА-М,2021 - 294 с.-(СПО)(П)</t>
  </si>
  <si>
    <t>Григорян Е.С.</t>
  </si>
  <si>
    <t>978-5-16-016384-0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</si>
  <si>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</si>
  <si>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659069.02.01</t>
  </si>
  <si>
    <t>Маркетинговые коммуникации: Уч. / Е.С.Григорян - М.:НИЦ ИНФРА-М,2023 - 294 с.-(ВО: Бакалавриат)(П)</t>
  </si>
  <si>
    <t>978-5-16-014741-3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</si>
  <si>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 по направлениям подготовки 38.03.02 «Менеджмент», 38.03.05 «Бизнес-информатика», 38.03.06 «Торговое дело» (квалификация (степень) «бакалавр») (протокол № 5 от 26.03.2020)</t>
  </si>
  <si>
    <t>167300.09.01</t>
  </si>
  <si>
    <t>Маркетинговые коммуникации: Уч. / Под ред. И.Н.Красюк - М.: ИНФРА-М, 2023 - 272 с.(ВО) (п)</t>
  </si>
  <si>
    <t>Красюк И. Н.</t>
  </si>
  <si>
    <t>978-5-16-004956-4</t>
  </si>
  <si>
    <t>38.03.02</t>
  </si>
  <si>
    <t>Реокмендовано Государственным университетом управления в качетсве учебника для студентов высших учебных заведений, обучающихся по спец. 08011" маркетинг" (распор. №1469 от 07.07.2011, МГУП)</t>
  </si>
  <si>
    <t>Институт менеджмента и бизнеса</t>
  </si>
  <si>
    <t>180800.10.01</t>
  </si>
  <si>
    <t>Маркетинговый анализ: Уч. пос. / Н.А.Казакова - М.: НИЦ ИНФРА-М, 2023. - 240 с.(ВО: Бакалавриат) (п)</t>
  </si>
  <si>
    <t>МАРКЕТИНГОВЫЙ АНАЛИЗ</t>
  </si>
  <si>
    <t>Казакова Н. А.</t>
  </si>
  <si>
    <t>978-5-16-005220-5</t>
  </si>
  <si>
    <t>38.02.04, 38.02.01, 38.02.03, 42.03.01, 38.04.08, 38.04.06, 38.03.06, 38.03.02, 44.03.01, 44.03.05, 41.03.06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</si>
  <si>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направлению «Экономика» (степень — бакалавр) и специальностям/профилям «Бухгалтерский учет, анализ и аудит», «Финансы и кредит», «Мировая экономика»</t>
  </si>
  <si>
    <t>186700.08.01</t>
  </si>
  <si>
    <t>Маркетинговый аудит: Уч./ Д.В. Тюрин. - 2 изд. - М.: НИЦ ИНФРА-М, 2024 - 285 с. (ВО: Бакалавриат) (п)</t>
  </si>
  <si>
    <t>МАРКЕТИНГОВЫЙ АУДИТ, ИЗД.2</t>
  </si>
  <si>
    <t>Тюрин Д. В.</t>
  </si>
  <si>
    <t>978-5-16-006440-6</t>
  </si>
  <si>
    <t>38.02.04, 38.02.01, 38.02.03, 38.03.01, 38.03.02, 44.03.01, 44.03.05</t>
  </si>
  <si>
    <t>Рекомендовано ФГБОУ ВПО "Государственный университет управления" в качестве учебного пособия для студентов вузов, обучающихся по направлению 080200.68 "Менеджмент"</t>
  </si>
  <si>
    <t>665720.07.01</t>
  </si>
  <si>
    <t>Медиаполитика: Уч. / Р.Т.Мухаев - М.:НИЦ ИНФРА-М,2023 - 401 с.-(ВО: Бакалавриат)(П)</t>
  </si>
  <si>
    <t>МЕДИАПОЛИТИКА</t>
  </si>
  <si>
    <t>Мухаев Р.Т.</t>
  </si>
  <si>
    <t>978-5-16-015134-2</t>
  </si>
  <si>
    <t>41.03.04, 42.03.02, 42.03.01, 43.03.02, 43.03.03, 42.03.05, 38.03.04, 39.03.03, 42.03.04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</si>
  <si>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38.03.04 «Государственное и муниципальное управление», 43.03.01 «Реклама и связи с общественностью», 41.03.04 «Политология», 41.03.05. «Международные отношения» (квалификация (степень) «бакалавр»)</t>
  </si>
  <si>
    <t>239900.05.01</t>
  </si>
  <si>
    <t>Медицинское страхование: Уч.пос. / О.А.Цыганова - М.: НИЦ ИНФРА-М, 2022 - 176 с. (ВО)(О)</t>
  </si>
  <si>
    <t>МЕДИЦИНСКОЕ СТРАХОВАНИЕ</t>
  </si>
  <si>
    <t>Цыганова О.А., Ившин И.В.</t>
  </si>
  <si>
    <t>978-5-16-009226-3</t>
  </si>
  <si>
    <t>31.02.01, 31.05.01, 31.05.02, 31.05.03, 31.06.01, 31.07.01, 31.08.01, 31.08.02, 31.08.03, 31.08.04, 31.08.05, 31.08.06, 31.08.07, 31.08.08, 31.08.09, 31.08.10, 31.08.11, 31.08.12, 31.08.13, 31.08.14, 31.08.15, 31.08.16, 31.08.17, 31.08.18, 31.08.19, 31.08.20, 31.08.21, 31.08.22, 31.08.23, 31.08.24, 31.08.25, 31.08.26, 31.08.28, 31.08.29, 31.08.30, 31.08.31, 31.08.32, 31.08.33, 31.08.34, 31.08.35, 31.08.36, 31.08.37, 31.08.38, 31.08.39, 31.08.40, 31.08.41, 31.08.42, 31.08.43, 31.08.44, 31.08.45, 31.08.46, 31.08.47, 31.08.48, 31.08.49, 31.08.50, 31.08.51, 31.08.52, 31.08.53, 31.08.54, 31.08.55, 31.08.56, 31.08.57, 31.08.58, 31.08.59, 31.08.60, 31.08.61, 31.08.62, 31.08.63, 31.08.64, 31.08.65, 31.08.66, 31.08.67, 31.08.68, 31.08.69, 31.08.70, 31.08.71, 31.08.72, 31.08.73, 31.08.74, 31.08.75, 31.08.76, 31.08.77, 38.03.01</t>
  </si>
  <si>
    <t>Рекомендовано в качестве учебного пособия для системы последипломного образования специалистов в рамках основной образовательной программы послевузовского профессионального образования по специальности "Управление сестринской деятельностью»</t>
  </si>
  <si>
    <t>Северный государственный медицинский университет</t>
  </si>
  <si>
    <t>632490.05.01</t>
  </si>
  <si>
    <t>Международные переговоры: Уч.пос. / С.И.Лашко-М.:ИЦ РИОР, НИЦ ИНФРА-М,2024.-132 с..-(ВО)(о)</t>
  </si>
  <si>
    <t>МЕЖДУНАРОДНЫЕ ПЕРЕГОВОРЫ</t>
  </si>
  <si>
    <t>Лашко С.И., Мартыненко И.О.</t>
  </si>
  <si>
    <t>978-5-369-01940-5</t>
  </si>
  <si>
    <t>Рекомендовано УМО вузов России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«Экономика» (профиль подготовки «Мировая экономика»)</t>
  </si>
  <si>
    <t>371500.02.01</t>
  </si>
  <si>
    <t>Международный бизнес в отрасл.нефтегаз...: Уч./Ю.Н.Линник-М.:НИЦ ИНФРА-М,2018-218с.(ВО:Бакалавр.)(п)</t>
  </si>
  <si>
    <t>МЕЖДУНАРОДНЫЙ БИЗНЕС В ОТРАСЛЯХ НЕФТЕГАЗОВОГО КОМПЛЕКСА</t>
  </si>
  <si>
    <t>ЛинникЮ.Н., АфанасьевВ.Я., КазакА.С.</t>
  </si>
  <si>
    <t>978-5-16-011034-9</t>
  </si>
  <si>
    <t>21.04.01, 21.03.01, 38.03.01, 44.03.05</t>
  </si>
  <si>
    <t>Рекомендовано в качестве учебника для студентов высших учебных заведений, обучающихся по направлениям подготовки 38.03.01 «Экономика» и 21.03.01 «Нефтегазовое дело» (квалификация (степень) «бакалавр»)</t>
  </si>
  <si>
    <t>632489.06.01</t>
  </si>
  <si>
    <t>Международный бизнес: PR и реклам. дело: Уч.пос./ С.И.Лашко-М.:ИЦ РИОР, НИЦ ИНФРА-М,2023-171с(ВО)(О)</t>
  </si>
  <si>
    <t>МЕЖДУНАРОДНЫЙ БИЗНЕС: PR И РЕКЛАМНОЕ ДЕЛО</t>
  </si>
  <si>
    <t>Лашко С.И., Сапрыкина В.Ю.</t>
  </si>
  <si>
    <t>978-5-369-01589-6</t>
  </si>
  <si>
    <t>186900.05.01</t>
  </si>
  <si>
    <t>Международный бизнес: Уч. пос. / В.А.Михалкин - М.: Магистр, НИЦ ИНФРА-М,2019.-320 с.(п)</t>
  </si>
  <si>
    <t>МЕЖДУНАРОДНЫЙ БИЗНЕС</t>
  </si>
  <si>
    <t>Михалкин В.А.</t>
  </si>
  <si>
    <t>978-5-9776-0233-4</t>
  </si>
  <si>
    <t>410750.08.01</t>
  </si>
  <si>
    <t>Международный маркетинг и бизнес: Уч.пос./Н.К.Моисеева -М.:КУРС, НИЦ ИНФРА-М,2023.-272 с.(П)</t>
  </si>
  <si>
    <t>МЕЖДУНАРОДНЫЙ МАРКЕТИНГ И БИЗНЕС</t>
  </si>
  <si>
    <t>Моисеева Н. К.</t>
  </si>
  <si>
    <t>978-5-905554-30-8</t>
  </si>
  <si>
    <t>38.04.02, 38.03.02</t>
  </si>
  <si>
    <t>Рекомендовано Учебно-методической комиссией института экономики, управления и права Национального исследовательского университета «МИЭТ»</t>
  </si>
  <si>
    <t>656465.03.01</t>
  </si>
  <si>
    <t>Межкультурные отличия в практике бизнеса: Уч.пос. / Н.М.Громова-М.:Магистр, НИЦ ИНФРА-М,2020-164с(О)</t>
  </si>
  <si>
    <t>МЕЖКУЛЬТУРНЫЕ ОТЛИЧИЯ В ПРАКТИКЕ БИЗНЕСА</t>
  </si>
  <si>
    <t>Громова Н.М.</t>
  </si>
  <si>
    <t>978-5-9776-0459-8</t>
  </si>
  <si>
    <t>38.04.06, 38.04.02, 38.03.01</t>
  </si>
  <si>
    <t>658843.04.01</t>
  </si>
  <si>
    <t>Менеджмент  в туристских организациях: Уч.пос. / П.В.Большаник - М.:НИЦ ИНФРА-М,2023 - 193 с.-(ВО)(П)</t>
  </si>
  <si>
    <t>МЕНЕДЖМЕНТ  В ТУРИСТСКИХ ОРГАНИЗАЦИЯХ</t>
  </si>
  <si>
    <t>978-5-16-013170-2</t>
  </si>
  <si>
    <t>43.03.02, 38.03.02</t>
  </si>
  <si>
    <t>Рекомендовано в качестве учебного пособия для студентов высших учебных заведений, обучающихся по направлению подготовки 43.03.02 «Туризм»  (квалификация (степень) «бакалавр»)</t>
  </si>
  <si>
    <t>648904.07.01</t>
  </si>
  <si>
    <t>Менеджмент в сервисе и туризме: Уч.пос. / В.М.Пищулов, - 3 изд.-М.:НИЦ ИНФРА-М,2022.-284 с.(ВО(П)</t>
  </si>
  <si>
    <t>МЕНЕДЖМЕНТ В СЕРВИСЕ И ТУРИЗМЕ, ИЗД.3</t>
  </si>
  <si>
    <t>Пищулов В.М.</t>
  </si>
  <si>
    <t>978-5-16-012517-6</t>
  </si>
  <si>
    <t>15.02.07, 08.02.01, 08.02.04, 40.02.01, 38.02.07, 38.02.01, 38.02.03, 43.03.01, 43.03.02, 44.03.05, 49.03.03</t>
  </si>
  <si>
    <t>Рекомендовано ФГБОУ ВО «Российский государственный университет туризма и сервиса» в качестве учебного пособия к использованию в образовательных учреждениях ВО, реализующих образовательные программы высшего образования по направлениям подготовки 43.03.02 «Туризм», 43.03.01 «Сервис» (квалификация (степень) «бакалавр»)</t>
  </si>
  <si>
    <t>703218.03.01</t>
  </si>
  <si>
    <t>Менеджмент в сервисе и туризме: Уч.пос. / В.М.Пищулов, - 3 изд.-М.:НИЦ ИНФРА-М,2023.-284 с.(СПО)(п)</t>
  </si>
  <si>
    <t>978-5-16-014869-4</t>
  </si>
  <si>
    <t>0319</t>
  </si>
  <si>
    <t>086260.16.01</t>
  </si>
  <si>
    <t>Менеджмент в сервисе и туризме: Уч.пос. / Н.А.Зайцева - 3 изд. - М.:НИЦ ИНФРА-М,2024 - 366 с.(О)(СПО)</t>
  </si>
  <si>
    <t>Зайцева Н. А.</t>
  </si>
  <si>
    <t>978-5-16-016114-3</t>
  </si>
  <si>
    <t>43.03.01</t>
  </si>
  <si>
    <t>420700.08.01</t>
  </si>
  <si>
    <t>Менеджмент в туризме: уч. / Под ред. Богданов Е.И.-М.:НИЦ ИНФРА-М,2024.-152 с..-(ВО: Бакалавриат)(п)</t>
  </si>
  <si>
    <t>МЕНЕДЖМЕНТ В ТУРИЗМЕ</t>
  </si>
  <si>
    <t>Киседобрев В. П., Кострюкова О. Н., Киседобрев А. В., Богданов Е. И.</t>
  </si>
  <si>
    <t>978-5-16-006294-5</t>
  </si>
  <si>
    <t>43.03.02, 43.04.02, 38.03.02, 49.03.03</t>
  </si>
  <si>
    <t>Рекомендовано Учебно-методическим объединением по образованию в области производственного менеджмента Министерства образования и науки Российской Федерации в качестве учебника для студентов высших учебных заведений, обучающихся по специальности 08050</t>
  </si>
  <si>
    <t>470100.05.01</t>
  </si>
  <si>
    <t>Менеджмент в туристской индустрии: Уч. / Л.В.Баумгартен - М.:Вуз.уч.,НИЦ ИНФРА-М,2023 - 236 с.(П)</t>
  </si>
  <si>
    <t>МЕНЕДЖМЕНТ В ТУРИСТСКОЙ ИНДУСТРИИ</t>
  </si>
  <si>
    <t>978-5-9558-0480-4</t>
  </si>
  <si>
    <t>49.03.03</t>
  </si>
  <si>
    <t>Рекомендовано Учебно-методическим советом ВО в качестве учебника для студентов высших учебных заведений, обучающихся по направлениям подготовки 38.03.02 «Менеджмент», 43.04.02 «Туризм» (квалификация (степень) «бакалавр»)</t>
  </si>
  <si>
    <t>136950.10.01</t>
  </si>
  <si>
    <t>Менеджмент гостеприимства: Уч.пос. / Е.Н.Кнышова - М.:ИД ФОРУМ, НИЦ ИНФРА-М,2023 - 512 с.-(ВО)(П)</t>
  </si>
  <si>
    <t>МЕНЕДЖМЕНТ ГОСТЕПРИИМСТВА</t>
  </si>
  <si>
    <t>Кнышова Е.Н., Белозерова Ю.М.</t>
  </si>
  <si>
    <t>978-5-8199-0441-1</t>
  </si>
  <si>
    <t>43.03.01, 43.03.02, 43.03.03, 38.04.02, 43.04.03, 38.03.02, 41.03.06, 43.02.14</t>
  </si>
  <si>
    <t>Рекомендовано Ученым советом Иститута туризма и развития рынка Гос. универ. управл. для студ. вузов, обуч. по спец. 080507 "Менеджмент оргции" специализ. "Гостин. и турист. бизнес", 100103 "Соц.-культ. сервис и туризм" и 100104 "Туризм"</t>
  </si>
  <si>
    <t>682973.03.01</t>
  </si>
  <si>
    <t>Менеджмент гостеприимства: Уч.пос. / Е.Н.Кнышова-М.:ИД ФОРУМ, НИЦ ИНФРА-М,2023.-512 с..-(СПО)(П)</t>
  </si>
  <si>
    <t>978-5-8199-0795-5</t>
  </si>
  <si>
    <t>43.02.14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</si>
  <si>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</si>
  <si>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096850.09.01</t>
  </si>
  <si>
    <t>Менеджмент продаж: Уч. пос. / С.П. Коноплев - М.: ИНФРА-М,2022 - 304 с.- (ВО) (п)</t>
  </si>
  <si>
    <t>МЕНЕДЖМЕНТ ПРОДАЖ</t>
  </si>
  <si>
    <t>Коноплев С. П., Коноплева В. С.</t>
  </si>
  <si>
    <t>978-5-16-003407-2</t>
  </si>
  <si>
    <t>38.04.06, 38.04.02, 38.03.06, 38.03.02</t>
  </si>
  <si>
    <t>Допущено УМО по образованию в области прикладной информатики в качестве учебного пособия для студентов вузов, обучающихся по специальности "Прикладная информатика (по областям)" и другим специальностям</t>
  </si>
  <si>
    <t>257900.07.01</t>
  </si>
  <si>
    <t>Мерчандайзинг: Уч.пос. / С.Б.Алексина - 2 изд. - М.:НИЦ ИНФРА-М,2022 - 178 с.(СПО)(П)</t>
  </si>
  <si>
    <t>МЕРЧАНДАЙЗИНГ, ИЗД.2</t>
  </si>
  <si>
    <t>Алексина С.Б., Иванов Г.Г.</t>
  </si>
  <si>
    <t>978-5-16-016846-3</t>
  </si>
  <si>
    <t>38.01.02, 38.02.04, 38.03.01, 38.03.06, 38.03.02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</si>
  <si>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</si>
  <si>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</si>
  <si>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</si>
  <si>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</si>
  <si>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</si>
  <si>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</si>
  <si>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468050.04.01</t>
  </si>
  <si>
    <t>Методические основы формирования маркетинговых..: Моногр./Д.С.Садриев-М.:НИЦ ИНФРА-М,2024.-180 с.(О)</t>
  </si>
  <si>
    <t>МЕТОДИЧЕСКИЕ ОСНОВЫ ФОРМИРОВАНИЯ МАРКЕТИНГОВЫХ КАНАЛОВ РАСПРЕДЕЛЕНИЯ ГОТОВОЙ ПРОДУКЦИИ</t>
  </si>
  <si>
    <t>Садриев Д.С., Андрианова Н.В.</t>
  </si>
  <si>
    <t>978-5-16-009856-2</t>
  </si>
  <si>
    <t>38.04.01, 38.04.02, 38.03.01, 38.03.05, 38.03.02, 44.03.01, 44.03.05, 41.03.06</t>
  </si>
  <si>
    <t>Казанский (Приволжский) федеральный университет</t>
  </si>
  <si>
    <t>425300.07.01</t>
  </si>
  <si>
    <t>Методы стимулир. продаж в торговле: Уч. / С.Б.Алексина.- М.:ИД ФОРУМ:НИЦ Инфра-М,2023-304с.(ВО) (п)</t>
  </si>
  <si>
    <t>МЕТОДЫ СТИМУЛИРОВАНИЯ ПРОДАЖ В ТОРГОВЛЕ</t>
  </si>
  <si>
    <t>Алексина С. Б., Иванов Г. Г., Крышталев В. К., Панкина Т. В.</t>
  </si>
  <si>
    <t>978-5-8199-0526-5</t>
  </si>
  <si>
    <t>682979.03.01</t>
  </si>
  <si>
    <t>Методы стимулир. продаж в торговле: Уч. / С.Б.Алексина.-М.:ИД ФОРУМ, НИЦ ИНФРА-М,2020.-304с.(СПО)(П)</t>
  </si>
  <si>
    <t>Алексина С.Б., Иванов Г.Г., Крышталев В.К. и др.</t>
  </si>
  <si>
    <t>978-5-8199-0796-2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</si>
  <si>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</si>
  <si>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403950.05.01</t>
  </si>
  <si>
    <t>Модели анализа рекламного текста: Уч. пос. / Н.В.Аниськина - М.: Форум:  НИЦ Инфра-М, 2023-304с.(ВО) (о)</t>
  </si>
  <si>
    <t>МОДЕЛИ АНАЛИЗА РЕКЛАМНОГО ТЕКСТА</t>
  </si>
  <si>
    <t>Аниськина Н. В.</t>
  </si>
  <si>
    <t>978-5-91134-675-1</t>
  </si>
  <si>
    <t>42.03.02, 42.03.01, 42.03.03, 45.03.01</t>
  </si>
  <si>
    <t>Ярославский государственный педагогический университет им. К.Д. Ушинского, Рыбинский ф-л</t>
  </si>
  <si>
    <t>775402.01.01</t>
  </si>
  <si>
    <t>Модель оценки влияния туризма и индустрии гостеприимства.../ А.В.Аверин.-М.:НИЦ ИНФРА-М,2023.-196 с.(О)</t>
  </si>
  <si>
    <t>МОДЕЛЬ ОЦЕНКИ ВЛИЯНИЯ ТУРИЗМА И ИНДУСТРИИ ГОСТЕПРИИМСТВА НА ЭКОНОМИКУ РОССИИ</t>
  </si>
  <si>
    <t>Аверин А.В., Алексеев А.Н., Брагина Е.В. и др.</t>
  </si>
  <si>
    <t>978-5-16-017728-1</t>
  </si>
  <si>
    <t>38.04.01, 38.04.02, 43.04.02, 38.06.01</t>
  </si>
  <si>
    <t>155750.07.01</t>
  </si>
  <si>
    <t>Новые подходы и методы обеспечения уст. развития.../В.И.Подлесных-НИЦ ИНФРА-М,2024-304с(Науч.мысль)</t>
  </si>
  <si>
    <t>НОВЫЕ ПОДХОДЫ И МЕТОДЫ ОБЕСПЕЧЕНИЯ УСТОЙЧИВОГО РАЗВИТИЯ ПРЕДПРИНИМАТЕЛЬСКИХ СТРУКТУР: ТЕОРИЯ ОРГАНИЗАЦИИ, САМООРГАНИЗАЦИИ И УПРАВЛЕНИЯ</t>
  </si>
  <si>
    <t>Подлесных В.И., Кузнецов Н.В., Тихомирова О.Г.</t>
  </si>
  <si>
    <t>978-5-16-009994-1</t>
  </si>
  <si>
    <t>38.04.08, 38.04.02, 38.04.04, 38.03.02, 38.03.04, 41.03.06</t>
  </si>
  <si>
    <t>Национальный исследовательский университет ИТМО</t>
  </si>
  <si>
    <t>150200.08.01</t>
  </si>
  <si>
    <t>Обеспечение конкурентоспособности предприятия туризма: Уч. /Ю.Н.Абабков - М.: ИНФРА-М, 2022-144-(ВО) (п)</t>
  </si>
  <si>
    <t>ОБЕСПЕЧЕНИЕ КОНКУРЕНТОСПОСОБНОСТИ ПРЕДПРИЯТИЯ ТУРИЗМА</t>
  </si>
  <si>
    <t>Абабков Ю. Н., Филиппова И. Г., Богданов Е. И.</t>
  </si>
  <si>
    <t>978-5-16-004386-9</t>
  </si>
  <si>
    <t>43.03.02, 43.03.03, 43.04.03, 38.03.02, 49.03.03</t>
  </si>
  <si>
    <t>732304.04.01</t>
  </si>
  <si>
    <t>Олимпийский туризм:: Монография / А.М.Ветитнев - М.:НИЦ ИНФРА-М,2023 - 227 с.-(о)</t>
  </si>
  <si>
    <t>ОЛИМПИЙСКИЙ ТУРИЗМ: ОРГАНИЗАЦИОННО-ЭКОНОМИЧЕСКИЕ АСПЕКТЫ И ВЛИЯНИЕ НА ПРИНИМАЮЩУЮ ДЕСТИНАЦИЮ</t>
  </si>
  <si>
    <t>Ветитнев А.М., Бобина Н.В.</t>
  </si>
  <si>
    <t>978-5-16-016069-6</t>
  </si>
  <si>
    <t>43.04.01, 43.04.02, 43.04.03, 49.03.03</t>
  </si>
  <si>
    <t>Сочинский государственный университет</t>
  </si>
  <si>
    <t>400100.06.01</t>
  </si>
  <si>
    <t>Оптовая торговля. Орг. и упр.комм. деят: Уч. пос. /С.Н. Диянова. - М:Магистр:НИЦ Инфра-М, 2023-384с. (п)</t>
  </si>
  <si>
    <t>ОПТОВАЯ ТОРГОВЛЯ. ОРГАНИЗАЦИЯ И УПРАВЛЕНИЕ КОММЕРЧЕСКОЙ ДЕЯТЕЛЬНОСТЬЮ</t>
  </si>
  <si>
    <t>Диянова С. Н., Денисова Н. И.</t>
  </si>
  <si>
    <t>978-5-9776-0241-9</t>
  </si>
  <si>
    <t>38.02.04, 38.02.03, 38.04.07, 38.04.01, 38.04.06, 38.04.02, 38.04.03, 38.04.05, 38.03.01, 38.03.05, 38.03.06, 38.03.07, 38.03.02, 38.03.03</t>
  </si>
  <si>
    <t>210500.09.01</t>
  </si>
  <si>
    <t>Оптовая торговля: Уч. пос. / Г.Г. Иванов, А.Ф. Никишин - М.: ИД ФОРУМ:  НИЦ ИНФРА-М, 2024-96с. (о)</t>
  </si>
  <si>
    <t>ОПТОВАЯ ТОРГОВЛЯ</t>
  </si>
  <si>
    <t>Иванов Г. Г., Никишин А. Ф., Шипилова С. С.</t>
  </si>
  <si>
    <t>978-5-8199-0554-8</t>
  </si>
  <si>
    <t>38.04.07, 38.03.01, 38.03.06, 38.03.02</t>
  </si>
  <si>
    <t>Рекомендовано кафедрой торговой политики РЭУ им. Г.В. Плеханова в качестве учебного пособия для студентов высших учебных заведений, обучающихся по направлениям «Торговое дело» (бакалавриат), «Экономика» (бакалавриат), «Менеджмент» (бакалавриат)</t>
  </si>
  <si>
    <t>693894.03.01</t>
  </si>
  <si>
    <t>Организация гостиничного дела: обеспеч. безоп.: Уч.пос. / Р.Н.Ушаков-М.:НИЦ ИНФРА-М,2023-136 с.(СПО)</t>
  </si>
  <si>
    <t>ОРГАНИЗАЦИЯ ГОСТИНИЧНОГО ДЕЛА: ОБЕСПЕЧЕНИЕ БЕЗОПАСНОСТИ</t>
  </si>
  <si>
    <t>Ушаков Р.Н., Авилова Н.Л.</t>
  </si>
  <si>
    <t>978-5-16-014473-3</t>
  </si>
  <si>
    <t>43.02.11, 43.03.03, 43.02.14</t>
  </si>
  <si>
    <t>Московская международная академия</t>
  </si>
  <si>
    <t>646488.06.01</t>
  </si>
  <si>
    <t>Организация гостиничного дела: обеспечение безоп.: Уч.пос. / Р.Н.Ушаков-М.:НИЦ ИНФРА-М,2023-136 с.(ВО)(О)</t>
  </si>
  <si>
    <t>978-5-16-012496-4</t>
  </si>
  <si>
    <t>43.00.00, 43.03.01, 43.03.02, 43.03.03</t>
  </si>
  <si>
    <t>Рекомендовано в качестве учебного пособия для студентов высших учебных заведений, обучающихся по направлению подготовки 43.03.03 «Гостиничное дело» (квалификация (степень) «бакалавр»)</t>
  </si>
  <si>
    <t>683002.06.01</t>
  </si>
  <si>
    <t>Организация гостиничного дела: Уч.пос. / С.А.Быстров - М.:Форум, НИЦ ИНФРА-М,2024 - 432 с.-(СПО)(П)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</si>
  <si>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</si>
  <si>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</si>
  <si>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</si>
  <si>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</si>
  <si>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</si>
  <si>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462500.08.01</t>
  </si>
  <si>
    <t>Организация гостиничного дела: Уч.пос. / С.А.Быстров-М.:Форум, НИЦ ИНФРА-М,2023.-432 с..-(ВО)(п)</t>
  </si>
  <si>
    <t>978-5-00091-514-1</t>
  </si>
  <si>
    <t>Рекомендовано для студентов высших учебных заведений, обучающихся по направлению подготовки 43.03.03 «Гостиничное дело»</t>
  </si>
  <si>
    <t>149650.11.01</t>
  </si>
  <si>
    <t>Организация гостиничного хозяйства: Уч. пос. / Т.А. Джум - М.: Магистр:  НИЦ Инфра-М, 2024-400 с.(п)</t>
  </si>
  <si>
    <t>ОРГАНИЗАЦИЯ ГОСТИНИЧНОГО ХОЗЯЙСТВА</t>
  </si>
  <si>
    <t>Джум Т. А., Денисова Н. И.</t>
  </si>
  <si>
    <t>978-5-9776-0176-4</t>
  </si>
  <si>
    <t>43.03.03, 38.04.02, 43.04.03, 38.03.02, 43.02.14</t>
  </si>
  <si>
    <t>Допущено УМО по образованию в области производственного менеджмента для студентов вузов, обучающихся по специальности 080502 "Экономика и управление на предприятии общественного питания"</t>
  </si>
  <si>
    <t>187550.08.01</t>
  </si>
  <si>
    <t>Организация и планир. деят. предпр. сферы сервиса: Уч.пос. / О.Н.Гукова-М.:Форум, НИЦ ИНФРА-М,2022.-160 с.(ВО)(О)</t>
  </si>
  <si>
    <t>ОРГАНИЗАЦИЯ И ПЛАНИРОВАНИЕ ДЕЯТЕЛЬНОСТИ ПРЕДПРИЯТИЙ СФЕРЫ СЕРВИСА</t>
  </si>
  <si>
    <t>Гукова О.Н.</t>
  </si>
  <si>
    <t>978-5-91134-661-4</t>
  </si>
  <si>
    <t>43.02.02, 43.03.01, 43.02.12, 43.02.13</t>
  </si>
  <si>
    <t>Академия труда и социальных отношений</t>
  </si>
  <si>
    <t>685029.06.01</t>
  </si>
  <si>
    <t>Организация и пров.эксперт. и оценки кач..:Уч./М.А.Николаева-М.:Юр.Норма, НИЦ ИНФРА-М,2022-320с(СПО)(П)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</si>
  <si>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</si>
  <si>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</si>
  <si>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Юр. НОРМА</t>
  </si>
  <si>
    <t>978-5-91768-939-5</t>
  </si>
  <si>
    <t>38.02.05, 38.03.07</t>
  </si>
  <si>
    <t>089250.13.01</t>
  </si>
  <si>
    <t>Организация и проведение мероприятий: Уч.пос. / О.Я.Гойхман - 3 изд.-М.:НИЦ ИНФРА-М,2024.-194 с.(П)</t>
  </si>
  <si>
    <t>ОРГАНИЗАЦИЯ И ПРОВЕДЕНИЕ МЕРОПРИЯТИЙ, ИЗД.3</t>
  </si>
  <si>
    <t>Гойхман О.Я.</t>
  </si>
  <si>
    <t>978-5-16-015949-2</t>
  </si>
  <si>
    <t>43.03.01, 43.03.03, 01.04.01, 02.04.01, 43.04.01, 43.04.03, 01.03.01, 02.03.01</t>
  </si>
  <si>
    <t>Рекомендовано Учебно-методическим объединением учебных заведений Российской Федерации по образованию в области сервиса и туризма в качестве учебного пособия для студентов высших учебных заведений</t>
  </si>
  <si>
    <t>0321</t>
  </si>
  <si>
    <t>089250.09.01</t>
  </si>
  <si>
    <t>Организация и проведение мероприятий: Уч.пос. / О.Я.Гойхман, - 2 изд.-М.:НИЦ ИНФРА-М,2019-136с(О)</t>
  </si>
  <si>
    <t>ОРГАНИЗАЦИЯ И ПРОВЕДЕНИЕ МЕРОПРИЯТИЙ, ИЗД.2</t>
  </si>
  <si>
    <t>978-5-16-004998-4</t>
  </si>
  <si>
    <t>071520.03.01</t>
  </si>
  <si>
    <t>Организация и технология коммерческой деятельности:Уч.пос. / М.Ю.Иванов-М.:ИЦ РИОР,2016.-97 с..-(ВО: Бакалавриат)(О)</t>
  </si>
  <si>
    <t>ОРГАНИЗАЦИЯ И ТЕХНОЛОГИЯ КОММЕРЧЕСКОЙ ДЕЯТЕЛЬНОСТИ</t>
  </si>
  <si>
    <t>Иванов М.Ю., Иванова М.В.</t>
  </si>
  <si>
    <t>978-5-9557-0363-3</t>
  </si>
  <si>
    <t>38.02.04, 38.02.03, 38.03.01, 38.03.06, 38.03.02</t>
  </si>
  <si>
    <t>Государственный морской университет им. адмирала Ф.Ф. Ушакова</t>
  </si>
  <si>
    <t>156700.07.01</t>
  </si>
  <si>
    <t>Организация и технология питания туристов: Уч. пос./Т.А.Джум - М.: Магистр:  ИНФРА-М, 2022-320с. (п)</t>
  </si>
  <si>
    <t>ОРГАНИЗАЦИЯ И ТЕХНОЛОГИЯ ПИТАНИЯ ТУРИСТОВ</t>
  </si>
  <si>
    <t>Джум Т. А., Ольшанская С. А.</t>
  </si>
  <si>
    <t>978-5-9776-0199-3</t>
  </si>
  <si>
    <t>Рекомендовано УМО по образованию в области сервиса в качестве учебного пособия для студентов ВУЗов, обучающихся по специальности "Социально-культурный сервис и туризм"</t>
  </si>
  <si>
    <t>345700.05.01</t>
  </si>
  <si>
    <t>Организация коммер. деят. малых и ср. предпр.: Уч.пос. / Г.Г.Иванов-М.:ИД Форум, НИЦ ИНФРА-М,2023-304с.(П)</t>
  </si>
  <si>
    <t>ОРГАНИЗАЦИЯ КОММЕРЧЕСКОЙ ДЕЯТЕЛЬНОСТИ МАЛЫХ И СРЕДНИХ ПРЕДПРИЯТИЙ</t>
  </si>
  <si>
    <t>Г.Г.Иванов, Ю.К.Баженов</t>
  </si>
  <si>
    <t>978-5-8199-0626-2</t>
  </si>
  <si>
    <t>665683.02.01</t>
  </si>
  <si>
    <t>Организация коммерческой деят.в инфраструктуре рынка: Уч. / В.В.Куимов-М.:НИЦ ИНФРА-М,2018-537с(ВО)</t>
  </si>
  <si>
    <t>ОРГАНИЗАЦИЯ КОММЕРЧЕСКОЙ ДЕЯТЕЛЬНОСТИ В ИНФРАСТРУКТУРЕ РЫНКА</t>
  </si>
  <si>
    <t>Куимов В.В., Суслова Ю.Ю., Щербенко Е.В. и др.</t>
  </si>
  <si>
    <t>Высшее образование: Бакалавриат (СФУ)</t>
  </si>
  <si>
    <t>978-5-16-012977-8</t>
  </si>
  <si>
    <t>38.03.06, 38.03.07</t>
  </si>
  <si>
    <t>Рекомендовано Учебно-методическим советом ВО в качестве учебника для студентов высших учебных заведений, обучающихся по направлению подготовки 38.03.06 «Торговое дело» (квалификация (степень) «бакалавр»)</t>
  </si>
  <si>
    <t>Сибирский федеральный университет</t>
  </si>
  <si>
    <t>170150.08.01</t>
  </si>
  <si>
    <t>Организация предпр. деят. в сфере автосерв.услуг: Уч.пос./В.П.Бычков-НИЦ ИНФРА-М,2024-208с.(ВО)</t>
  </si>
  <si>
    <t>ОРГАНИЗАЦИЯ ПРЕДПРИНИМАТЕЛЬСКОЙ ДЕЯТЕЛЬНОСТИ В СФЕРЕ АВТОСЕРВИСНЫХ УСЛУГ</t>
  </si>
  <si>
    <t>Бычков В. П.</t>
  </si>
  <si>
    <t>978-5-16-004861-1</t>
  </si>
  <si>
    <t>38.04.02, 23.04.02, 23.04.03, 23.03.02, 23.03.03, 38.03.02</t>
  </si>
  <si>
    <t>Допущено Учебно-методическим объединением по образованию в области производственного менеджмента в качестве учебного пособия для студентов, обучающихся по специальности  080502 "Экономика и управление на предприятях транспорта"</t>
  </si>
  <si>
    <t>Воронежский государственный лесотехнический университет имени Г.Ф. Морозова</t>
  </si>
  <si>
    <t>409650.08.01</t>
  </si>
  <si>
    <t>Организация предприним. деят. на транспорте: Уч.пос. / Н.А.Логинова-М.:НИЦ ИНФРА-М,2023.-262 с.(ВО)(П)</t>
  </si>
  <si>
    <t>ОРГАНИЗАЦИЯ ПРЕДПРИНИМАТЕЛЬСКОЙ ДЕЯТЕЛЬНОСТИ НА ТРАНСПОРТЕ</t>
  </si>
  <si>
    <t>Логинова Н. А., Първанов Х.</t>
  </si>
  <si>
    <t>978-5-16-005780-4</t>
  </si>
  <si>
    <t>38.04.01, 38.04.02, 23.04.02, 23.04.01, 23.05.01, 23.05.04, 23.06.01, 38.06.01</t>
  </si>
  <si>
    <t>Рекомендовано Советом Учебно-методического объединения по образованию в области производственного менеджмента в качестве учебного пособия для студентов высших учебных заведений, обучающихся по направлению подготовки 080200 «Менеджмент» (профиль «Прои</t>
  </si>
  <si>
    <t>133850.10.01</t>
  </si>
  <si>
    <t>Организация предприним.деят.в сфере туризма: Уч.пос. / А.Ю.Баранова - НИЦ ИНФРА-М,2021 - 180с(ВО)(О)</t>
  </si>
  <si>
    <t>ОРГАНИЗАЦИЯ ПРЕДПРИНИМАТЕЛЬСКОЙ ДЕЯТЕЛЬНОСТИ В СФЕРЕ ТУРИЗМА</t>
  </si>
  <si>
    <t>Баранова А. Ю.</t>
  </si>
  <si>
    <t>978-5-16-004452-1</t>
  </si>
  <si>
    <t>43.03.01, 43.03.02, 43.03.03, 38.03.01, 38.03.05, 38.03.06, 38.03.07, 38.03.02, 38.03.03</t>
  </si>
  <si>
    <t>713000.07.01</t>
  </si>
  <si>
    <t>Организация предпринимат. деятельности: Уч.пос./ Г.А.Яковлев, - 2 изд.-М.:НИЦ ИНФРА-М,2024-313с.(П)</t>
  </si>
  <si>
    <t>ОРГАНИЗАЦИЯ ПРЕДПРИНИМАТЕЛЬСКОЙ ДЕЯТЕЛЬНОСТИ, ИЗД.2</t>
  </si>
  <si>
    <t>Яковлев Г.А.</t>
  </si>
  <si>
    <t>978-5-16-015386-5</t>
  </si>
  <si>
    <t>43.02.02, 43.02.10, 22.02.05, 23.02.04, 11.02.02, 35.02.12, 35.02.03, 19.02.03, 19.02.10, 08.02.02, 20.02.01, 40.02.02, 39.02.01, 44.02.01, 54.02.01, 38.02.06, 38.02.07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</si>
  <si>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</si>
  <si>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056319.13.01</t>
  </si>
  <si>
    <t>Организация предпринимательской деятел.: Уч.пос. / Г.А.Яковлев -2 изд.-М.:НИЦ ИНФРА-М,2024-313с.(ВО)</t>
  </si>
  <si>
    <t>978-5-16-003686-1</t>
  </si>
  <si>
    <t>38.03.10, 38.03.01, 38.03.05, 38.03.07, 38.03.02, 38.03.04, 38.03.03</t>
  </si>
  <si>
    <t>Допущено УМО по образованию в области производственного менеджмента в качестве учебного пособия для студентов высших учебных заведений, обучающихся по специальности 080502 «Экономика и управление на предприятии (по отраслям)»</t>
  </si>
  <si>
    <t>119950.06.01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</si>
  <si>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</si>
  <si>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</si>
  <si>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</si>
  <si>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</si>
  <si>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43.02.01, 43.02.07, 43.02.02, 43.02.05, 43.02.06, 43.02.03, 43.02.08, 43.02.09, 43.02.10, 43.02.11, 43.02.14, 43.02.13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</si>
  <si>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</si>
  <si>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262600.11.01</t>
  </si>
  <si>
    <t>Организация продаж гостиничного продукта: Уч.пос. / Е.И.Мазилкина-М.:НИЦ ИНФРА-М,2024.-207 с.(СПО)(П)</t>
  </si>
  <si>
    <t>ОРГАНИЗАЦИЯ ПРОДАЖ ГОСТИНИЧНОГО ПРОДУКТА</t>
  </si>
  <si>
    <t>Мазилкина Е. И.</t>
  </si>
  <si>
    <t>978-5-16-014060-5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</si>
  <si>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</si>
  <si>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632253.03.01</t>
  </si>
  <si>
    <t>Организация работы отделов рекламы и связей с общ.: Уч. / Е.А.Осипова-М.:НИЦ ИНФРА-М,2023.-381с.(П)</t>
  </si>
  <si>
    <t>ОРГАНИЗАЦИЯ РАБОТЫ ОТДЕЛОВ РЕКЛАМЫ И СВЯЗЕЙ С ОБЩЕСТВЕННОСТЬЮ</t>
  </si>
  <si>
    <t>Осипова Е.А.</t>
  </si>
  <si>
    <t>978-5-16-013595-3</t>
  </si>
  <si>
    <t>42.03.01, 41.03.06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</si>
  <si>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направлению подготовки  42.03.01 «Реклама и связи с общественностью» (квалификация (степень) «бакалавр») (протокол № 3 от 11.02.2019)</t>
  </si>
  <si>
    <t>231800.06.01</t>
  </si>
  <si>
    <t>Организация рознич. торг. в сети Интернет: Уч.пос. / Л.А.Брагин-М.:ИД ФОРУМ, НИЦ ИНФРА-М,2023.-120с.(ВО)(О)</t>
  </si>
  <si>
    <t>ОРГАНИЗАЦИЯ РОЗНИЧНОЙ ТОРГОВЛИ В СЕТИ ИНТЕРНЕТ</t>
  </si>
  <si>
    <t>Брагин Л.А., Панкина Т.В.</t>
  </si>
  <si>
    <t>978-5-8199-0900-3</t>
  </si>
  <si>
    <t>38.04.07, 38.03.06</t>
  </si>
  <si>
    <t>Рекомендовано кафедрой торговой политики РЭУ им. Г. В. Плеханова в качестве учебного пособия для студентов высших учебных заведений, обучающихся по направлениям «Торговое дело» (бакалавриат), «Экономика» (бакалавриат), «Менеджмент» (бакалавриат)</t>
  </si>
  <si>
    <t>474750.05.01</t>
  </si>
  <si>
    <t>Организация сервисного обслуж. в туризме: Уч. пос./Т.А.Джум - М:Магистр:ИНФРА-М,2020-368с(Бакалавр.)</t>
  </si>
  <si>
    <t>ОРГАНИЗАЦИЯ СЕРВИСНОГО ОБСЛУЖИВАНИЯ В ТУРИЗМЕ</t>
  </si>
  <si>
    <t>978-5-9776-0329-4</t>
  </si>
  <si>
    <t>222800.12.01</t>
  </si>
  <si>
    <t>Организация торговли: уч. / С.И.Жулидов, - 2 изд.-М.:ИД Форум, НИЦ ИНФРА-М,2023.-350 с.(СПО)(П)</t>
  </si>
  <si>
    <t>ОРГАНИЗАЦИЯ ТОРГОВЛИ, ИЗД.2</t>
  </si>
  <si>
    <t>Жулидов С.И.</t>
  </si>
  <si>
    <t>978-5-8199-0842-6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</si>
  <si>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</si>
  <si>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</si>
  <si>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</si>
  <si>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</si>
  <si>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</si>
  <si>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</si>
  <si>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</si>
  <si>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419800.06.01</t>
  </si>
  <si>
    <t>Организация туристской деят. Упр. турфирм.: Уч.пос. / С.А.Быстров-М.:Форум:ИНФРА-М,2023-400с.(ВО)(п)</t>
  </si>
  <si>
    <t>ОРГАНИЗАЦИЯ ТУРИСТСКОЙ ДЕЯТЕЛЬНОСТИ. УПРАВЛЕНИЕ ТУРФИРМОЙ</t>
  </si>
  <si>
    <t>978-5-91134-609-6</t>
  </si>
  <si>
    <t>684807.02.01</t>
  </si>
  <si>
    <t>Организация туристской деятельности...: Уч.пос. / С.А.Быстров-М.:Форум, НИЦ ИНФРА-М,2021.-399 с.(П)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</si>
  <si>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</si>
  <si>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</si>
  <si>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640120.08.01</t>
  </si>
  <si>
    <t>Основы агротуризма: Уч. / А.И.Панюков и др. - М.:Магистр, НИЦ ИНФРА-М,2023-240с.(Бакалавриат)(О)</t>
  </si>
  <si>
    <t>ОСНОВЫ АГРОТУРИЗМА</t>
  </si>
  <si>
    <t>Панюков А.И., Панюкова Ю.Г., Калиничев В.Л.</t>
  </si>
  <si>
    <t>978-5-9776-0437-6</t>
  </si>
  <si>
    <t>43.00.00, 05.03.06, 43.03.02, 49.03.03</t>
  </si>
  <si>
    <t>Российский государственный аграрный университет - МСХА им. К.А. Тимирязева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</si>
  <si>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</si>
  <si>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</si>
  <si>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</si>
  <si>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</si>
  <si>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</si>
  <si>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38.02.04, 38.02.06, 38.02.07, 38.02.01, 38.02.02, 38.02.03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</si>
  <si>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</si>
  <si>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Санкт-Петербургский государственный аграрный университет</t>
  </si>
  <si>
    <t>168250.08.01</t>
  </si>
  <si>
    <t>Основы коммерции: Уч.пос. / Г.А.Яковлев - М.:НИЦ ИНФРА-М,2022 - 224 с.-(ВО: Бакалавриат) (П)</t>
  </si>
  <si>
    <t>ОСНОВЫ КОММЕРЦИИ</t>
  </si>
  <si>
    <t>Яковлев Г. А.</t>
  </si>
  <si>
    <t>978-5-16-014364-4</t>
  </si>
  <si>
    <t>38.02.04, 38.02.03, 38.04.06, 38.03.06</t>
  </si>
  <si>
    <t>Допущено Учебно-методическим объединением вузов России по образованию в области коммерции и маркетинга в качестве учебного пособия для студентов высших учебных заведений, обучающихся по специальностям «Коммерция (торговое дело)» и «Маркетинг»</t>
  </si>
  <si>
    <t>683008.02.01</t>
  </si>
  <si>
    <t>Основы коммерции: Уч.пос. / Г.А.Яковлев-М.:НИЦ ИНФРА-М,2023.-224 с..-(СПО)(П)</t>
  </si>
  <si>
    <t>978-5-16-013985-2</t>
  </si>
  <si>
    <t>38.02.04, 38.02.01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</si>
  <si>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</si>
  <si>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439150.11.01</t>
  </si>
  <si>
    <t>Основы коммуникологии (теория коммуникации): Уч. пос./А.С.Чамкин- М.: НИЦ ИНФРА-М, 2024-350с.(ВО)(п)</t>
  </si>
  <si>
    <t>ОСНОВЫ КОММУНИКОЛОГИИ (ТЕОРИЯ КОММУНИКАЦИИ)</t>
  </si>
  <si>
    <t>Чамкин А. С.</t>
  </si>
  <si>
    <t>978-5-16-005545-9</t>
  </si>
  <si>
    <t>41.03.04, 37.03.01, 42.03.02, 42.03.01, 41.03.05, 42.04.01, 42.04.02, 41.04.05, 45.04.02, 37.04.02, 38.04.01, 38.04.02, 38.04.03, 37.05.02, 42.03.05, 38.03.01, 38.03.02, 38.03.03, 37.03.02, 45.03.02, 41.03.06, 42.03.04</t>
  </si>
  <si>
    <t>Рекомендовано в качестве учебного пособия для студентов высших учебных заведений, обучающихся по направлениям подготовки 39.03.01 «Социология», 42.03.01 «Реклама и связи с общественностью», 38.03.02 «Менеджмент» (квалификация (степень) «бакалавр»)</t>
  </si>
  <si>
    <t>Московский городской педагогический университет</t>
  </si>
  <si>
    <t>428850.05.01</t>
  </si>
  <si>
    <t>Основы малого и среднего предпринимат.: Практ.пос. / Н.П.Кондраков-М.:НИЦ ИНФРА-М,2019.-446 с.(П)</t>
  </si>
  <si>
    <t>ОСНОВЫ МАЛОГО И СРЕДНЕГО ПРЕДПРИНИМАТЕЛЬСТВА</t>
  </si>
  <si>
    <t>Кондраков Н. П., Кондраков И. Н.</t>
  </si>
  <si>
    <t>978-5-16-005687-6</t>
  </si>
  <si>
    <t>38.03.10, 43.03.01, 43.03.02, 43.03.03, 38.03.01, 38.03.05, 38.03.06, 38.03.07, 38.03.02, 38.03.04, 38.03.03, 18.02.13</t>
  </si>
  <si>
    <t>690966.02.01</t>
  </si>
  <si>
    <t>Основы маркетинга сферы услуг: Уч.пос. / М.А.Новикова - М.:НИЦ ИНФРА-М,2023 - 192 с.(СПО)(П)</t>
  </si>
  <si>
    <t>ОСНОВЫ МАРКЕТИНГА СФЕРЫ УСЛУГ</t>
  </si>
  <si>
    <t>Новикова М.А.</t>
  </si>
  <si>
    <t>978-5-16-014501-3</t>
  </si>
  <si>
    <t>43.02.02, 43.02.13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</si>
  <si>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</si>
  <si>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239400.07.01</t>
  </si>
  <si>
    <t>Основы маркетинга: Уч. / Ю.Н.Егоров - 2 изд. - М.:НИЦ ИНФРА-М,2024 - 292 с.-(ВО)(п)</t>
  </si>
  <si>
    <t>ОСНОВЫ МАРКЕТИНГА, ИЗД.2</t>
  </si>
  <si>
    <t>Егоров Ю.Н.</t>
  </si>
  <si>
    <t>978-5-16-019439-4</t>
  </si>
  <si>
    <t>38.02.04, 38.02.01, 38.02.03, 38.04.01, 38.04.06, 38.04.02, 38.03.01, 38.03.06, 38.03.02, 44.03.01, 44.03.05, 41.03.06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</si>
  <si>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38.03.02 (080200.62) «Менеджмент» (квалификация (степень) "бакалавр»)</t>
  </si>
  <si>
    <t>Московский региональный социально-экономический институт</t>
  </si>
  <si>
    <t>703066.04.01</t>
  </si>
  <si>
    <t>Основы маркетинга: Уч. / Ю.Н.Егоров - 2 изд. - М.:НИЦ ИНФРА-М,2024 - 292 с.-(СПО)(п)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</si>
  <si>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</si>
  <si>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</si>
  <si>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693177.06.01</t>
  </si>
  <si>
    <t>Основы парикмахерского дела: Уч.пос. / И.С.Тундалева - М.:НИЦ ИНФРА-М,2024 - 155 с.(СПО)(П)</t>
  </si>
  <si>
    <t>ОСНОВЫ ПАРИКМАХЕРСКОГО ДЕЛА</t>
  </si>
  <si>
    <t>Тундалева И.С.</t>
  </si>
  <si>
    <t>978-5-16-014802-1</t>
  </si>
  <si>
    <t>43.02.02, 43.02.03, 43.02.13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</si>
  <si>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</si>
  <si>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Южно-Уральский государственный университет (национальный исследовательский университет)</t>
  </si>
  <si>
    <t>158750.10.01</t>
  </si>
  <si>
    <t>Основы предприним. деят.: содерж. деят., кач-ва..: Уч.пос. / С.Д.Резник - 4 изд. - ИНФРА-М, 2023-224с(ВО)</t>
  </si>
  <si>
    <t>ОСНОВЫ ПРЕДПРИНИМАТЕЛЬСКОЙ ДЕЯТЕЛЬНОСТИ: СОДЕРЖАНИЕ ДЕЯТЕЛЬНОСТИ, КАЧЕСТВА И КОМПЕТЕНЦИИ, ПРОФЕССИОНАЛЬНАЯ КАРЬЕРА, ЛИЧНАЯ ОРГАНИЗАЦИЯ ПРЕДПРИНИМАТЕЛЯ, ИЗД.4</t>
  </si>
  <si>
    <t>Резник С.Д., Назарова Н.А., Глухова И.В. и др.</t>
  </si>
  <si>
    <t>978-5-16-006884-8</t>
  </si>
  <si>
    <t>38.03.01, 38.03.05, 38.03.02, 38.03.04, 38.03.03</t>
  </si>
  <si>
    <t>0418</t>
  </si>
  <si>
    <t>213400.09.01</t>
  </si>
  <si>
    <t>Основы предпринимательской деят.: Уч. / В.Н.Наумов - 2 изд. - М.:НИЦ ИНФРА-М,2024 - 437 с(ВО)(П)</t>
  </si>
  <si>
    <t>ОСНОВЫ ПРЕДПРИНИМАТЕЛЬСКОЙ ДЕЯТЕЛЬНОСТИ, ИЗД.2</t>
  </si>
  <si>
    <t>Наумов В.Н., Шубаева В.Г.</t>
  </si>
  <si>
    <t>978-5-16-014188-6</t>
  </si>
  <si>
    <t>Рекомендовано Методическим советом федерального государственного бюджетного образовательного учреждения высшего образования «Санкт-Петербургский государственный экономический университет» в качестве учебника для студентов, обучающихся по направлениям подготовки 38.03.01 «Экономика», 38.03.02 «Менеджмент», 38.03.06 «Торговое дело», 43.03.01 «Сервис» (квалификация (степень) «бакалавр»)</t>
  </si>
  <si>
    <t>126500.16.01</t>
  </si>
  <si>
    <t>Основы предпринимательской деят.: Уч.пос. / Т.М.Голубева - 2 изд. - М.:Форум,НИЦ ИНФРА-М,2024 - 256 с.(ПО)(п)</t>
  </si>
  <si>
    <t>Голубева Т. М.</t>
  </si>
  <si>
    <t>978-5-91134-857-1</t>
  </si>
  <si>
    <t>00.02.40</t>
  </si>
  <si>
    <t>Московский образовательный комплекс ЗАПАД</t>
  </si>
  <si>
    <t>213400.03.01</t>
  </si>
  <si>
    <t>Основы предпринимательской деятельности: Уч. / В.Н.Наумов - М.:НИЦ ИНФРА-М,2018.-313 с..-(ВО)(П)</t>
  </si>
  <si>
    <t>ОСНОВЫ ПРЕДПРИНИМАТЕЛЬСКОЙ ДЕЯТЕЛЬНОСТИ</t>
  </si>
  <si>
    <t>Наумов В. Н.</t>
  </si>
  <si>
    <t>978-5-16-006877-0</t>
  </si>
  <si>
    <t>Рекомендовано Научно-методическим советом Санкт-Петербургского государственного экономического университета в качестве учебника для студентов высших учебных заведений, обучающихся по направлениям подготовки 100100 «Сервис» и 100700 «Торговое дело» (с</t>
  </si>
  <si>
    <t>321600.07.01</t>
  </si>
  <si>
    <t>Основы предпринимательской деятельности: Уч. / С.Д.Резник -М.:НИЦ ИНФРА-М,2024-287с.(ВО:Бакалавриат)(п)</t>
  </si>
  <si>
    <t>С.Д.Резник, А.В.Глухова, А.Е.Черницов</t>
  </si>
  <si>
    <t>978-5-16-010473-7</t>
  </si>
  <si>
    <t>38.03.10, 38.03.01, 38.03.05, 38.03.06, 38.03.07, 38.03.02, 38.03.04, 38.03.03</t>
  </si>
  <si>
    <t>Рекомендовано Советом Учебно-методического объединения вузов России по образованию в области менеджмента к использованию для организации учебного процесса в высших учебных заведениях</t>
  </si>
  <si>
    <t>088900.11.01</t>
  </si>
  <si>
    <t>Основы рекламы.: Уч. / А.Н. Мудров. - 3 изд. - М.: Магистр:  ИНФРА-М, 2024. - 416с. (п)</t>
  </si>
  <si>
    <t>ОСНОВЫ РЕКЛАМЫ, ИЗД.3</t>
  </si>
  <si>
    <t>Мудров А. Н.</t>
  </si>
  <si>
    <t>978-5-9776-0212-9</t>
  </si>
  <si>
    <t>42.03.01, 42.04.01, 38.04.07, 38.04.01, 38.04.06, 38.03.01, 38.03.06, 38.03.07, 41.03.06</t>
  </si>
  <si>
    <t>Допущено Министерством образования и науки РФ в качестве учебника для студентов вузов, обучающихся по специальности 350700 "Реклама"</t>
  </si>
  <si>
    <t>0312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</si>
  <si>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</si>
  <si>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</si>
  <si>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</si>
  <si>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</si>
  <si>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</si>
  <si>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</si>
  <si>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166200.11.01</t>
  </si>
  <si>
    <t>Основы рекламы: Уч.пос. / Е.И.Мазилкина - 2-е изд.-М.:НИЦ ИНФРА-М,2024.-240 с.-(СПО)(п)</t>
  </si>
  <si>
    <t>ОСНОВЫ РЕКЛАМЫ, ИЗД.2</t>
  </si>
  <si>
    <t>Мазилкина Е.И., Паничкина Г.Г., Ольхова Л.А.</t>
  </si>
  <si>
    <t>978-5-16-019214-7</t>
  </si>
  <si>
    <t>292300.05.01</t>
  </si>
  <si>
    <t>Основы социального и пенсион. страх. в России: Уч. пос./Е.В.Козлова-М.:НИЦ ИНФРА-М,2023.-256 с.(ВО)(П)</t>
  </si>
  <si>
    <t>ОСНОВЫ СОЦИАЛЬНОГО И ПЕНСИОННОГО СТРАХОВАНИЯ В РОССИИ</t>
  </si>
  <si>
    <t>Козлова Е.В.</t>
  </si>
  <si>
    <t>978-5-16-010057-9</t>
  </si>
  <si>
    <t>38.03.01</t>
  </si>
  <si>
    <t>Рекомендовано Учебно-методическим объединением по образованию в области экономики в качестве учебного пособия для студентов высших учебных заведений, обучающихся по направлению подготовки 38.03.01 «Экономика", профиль "Страхование" (квалификация /сте</t>
  </si>
  <si>
    <t>Саратовский государственный технический университет им. Гагарина Ю.А., ф-л Саратовский социально-экономический институт</t>
  </si>
  <si>
    <t>171500.11.01</t>
  </si>
  <si>
    <t>Основы теории коммуникации: Уч. пос. / О.Я. Гойхман - М.: НИЦ Инфра-М, 2023-352с.(ВО) (п)</t>
  </si>
  <si>
    <t>ОСНОВЫ ТЕОРИИ КОММУНИКАЦИИ</t>
  </si>
  <si>
    <t>Гойхман О. Я., Апарина Т. А., Гончарова Л. М., Дубинский В. И., Гойхман О. Я.</t>
  </si>
  <si>
    <t>978-5-16-004792-8</t>
  </si>
  <si>
    <t>Допущено УМО вузов Российской Федерации по образованию в области международных отношений в качестве учебного пособия для студентов вузов, обучающихся по направлениям подготовки  (специальности) "Реклама и связи с общественностью"</t>
  </si>
  <si>
    <t>424850.07.01</t>
  </si>
  <si>
    <t>Основы теории коммуникации: Уч.пос. / Е.А.Кожемякин-М.:НИЦ ИНФРА-М,2023.-189 с.(ВО: Бакалавриат)(П)</t>
  </si>
  <si>
    <t>Кожемякин Е. А.</t>
  </si>
  <si>
    <t>978-5-16-006584-7</t>
  </si>
  <si>
    <t>Допущено Учебно-методическим объединением вузов Российской Федерации по образованию в области международных отношений в качестве учебного пособия для студентов вузов, обучающихся по направлению подготовки (специальности) «Реклама и связи с общественностью»</t>
  </si>
  <si>
    <t>Белгородский государственный национальный исследовательский университет</t>
  </si>
  <si>
    <t>241800.07.01</t>
  </si>
  <si>
    <t>Основы техн. переработки и товароведение прод...: Уч.пос. / Г.В.Чебакова - 2 изд.М.:ИНФРА-М,2024-336с.(П)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</si>
  <si>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</si>
  <si>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</si>
  <si>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978-5-16-015930-0</t>
  </si>
  <si>
    <t>19.03.03, 38.04.07, 19.04.03, 38.03.07</t>
  </si>
  <si>
    <t>Рекомендовано Учебно-методическим объединением по образованию в области товароведения и экспертизы товаров в качестве учебного пособия для студентов высших учебных заведений, обучающихся по специальности 080401 «Товароведение и экспертиза товаров (по</t>
  </si>
  <si>
    <t>Московская государственная академия ветеринарной медицины и биотехнологии - МВА им. К.И. Скрябина</t>
  </si>
  <si>
    <t>720417.03.01</t>
  </si>
  <si>
    <t>Основы технологии переработки и товаровед.прод.тов...: Уч.пос. / Г.В.Чебакова - 2 изд.-М.:НИЦ ИНФРА-М,2024.-336 с.(П)</t>
  </si>
  <si>
    <t>978-5-16-015699-6</t>
  </si>
  <si>
    <t>43.02.01, 38.02.04, 38.02.05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</si>
  <si>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</si>
  <si>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690240.04.01</t>
  </si>
  <si>
    <t>Основы товароведения продовольственных товаров: Уч.пос. / Т.С.Павлова - М.:НИЦ ИНФРА-М,2023 - 221с(П)</t>
  </si>
  <si>
    <t>ОСНОВЫ ТОВАРОВЕДЕНИЯ ПРОДОВОЛЬСТВЕННЫХ ТОВАРОВ</t>
  </si>
  <si>
    <t>Павлова Т.С.</t>
  </si>
  <si>
    <t>978-5-16-014724-6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</si>
  <si>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</si>
  <si>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Саратовский государственный университет генетики, биотехнологии и инженерии имени Н.И. Вавилова</t>
  </si>
  <si>
    <t>727117.06.01</t>
  </si>
  <si>
    <t>Основы турагентской и туроператорской деят.: Уч.пос. / Н.А.Агешкина-М.:НИЦ ИНФРА-М,2024-567 с.-(СПО)(П)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</si>
  <si>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</si>
  <si>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</si>
  <si>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</si>
  <si>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</si>
  <si>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754590.01.01</t>
  </si>
  <si>
    <t>Основы управ. ассортимент. непродовольственных товаров: Уч. / Н.С.Моисеенко-М.:НИЦ ИНФРА-М,2024.-306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</si>
  <si>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</si>
  <si>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</si>
  <si>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</si>
  <si>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</si>
  <si>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Сентябрь, 2023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</si>
  <si>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</si>
  <si>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</si>
  <si>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</si>
  <si>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</si>
  <si>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</si>
  <si>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Январь, 2023</t>
  </si>
  <si>
    <t>127200.09.01</t>
  </si>
  <si>
    <t>Основы функционир. систем сервиса: Уч. пос./В.М.Советов - Альфа-М:ИНФРА-М, 2024-624с(Бакалавр.) (п)</t>
  </si>
  <si>
    <t>ОСНОВЫ ФУНКЦИОНИРОВАНИЯ СИСТЕМ СЕРВИСА</t>
  </si>
  <si>
    <t>Советов В. М., Артюшенко В. М.</t>
  </si>
  <si>
    <t>978-5-98281-169-1</t>
  </si>
  <si>
    <t>Рекомендовано УМО учеб. заведений РФ по образ. в области сервиса и туризма Минобрнауки России в качестве учебного пособия для студентов вузов, обучающихся по специальности 100400 "Сервис"</t>
  </si>
  <si>
    <t>391900.08.01</t>
  </si>
  <si>
    <t>Основы эконом.,менедж. и маркетинг пред.питания: Уч./А.М.Фридман-М.:ИЦ РИОР,НИЦ ИНФРА-М,2023-229с.(ПО)(п)</t>
  </si>
  <si>
    <t>ОСНОВЫ  ЭКОНОМИКИ,МЕНЕДЖМЕНТА И МАРКЕТИНГА ПРЕДПРИЯТИЯ ПИТАНИЯ</t>
  </si>
  <si>
    <t>Фридман А.М.</t>
  </si>
  <si>
    <t>978-5-369-01516-2</t>
  </si>
  <si>
    <t>43.02.01, 15.02.05, 19.02.04, 19.02.07, 19.02.08, 19.02.10, 29.03.02</t>
  </si>
  <si>
    <t>Российский университет кооперации</t>
  </si>
  <si>
    <t>154850.09.01</t>
  </si>
  <si>
    <t>Особенности разв.предпр. деят. в усл.совр. России: Уч. пос./М.В.Беспалов-М.:НИЦ ИНФРА-М,2019-232с(О)</t>
  </si>
  <si>
    <t>ОСОБЕННОСТИ РАЗВИТИЯ ПРЕДПРИНИМАТЕЛЬСКОЙ ДЕЯТЕЛЬНОСТИ В УСЛОВИЯХ СОВРЕМЕННОЙ РОССИИ</t>
  </si>
  <si>
    <t>Беспалов М. В.</t>
  </si>
  <si>
    <t>978-5-16-009840-1</t>
  </si>
  <si>
    <t>Рекомендовано в качестве учебного пособия для студентов высших учебных заведений, обучающихся по направлениям 38.03.01 "Экономика", 38.03.02  "Менеджмент"</t>
  </si>
  <si>
    <t>Тамбовский государственный университет им. Г.Р. Державина</t>
  </si>
  <si>
    <t>676747.02.01</t>
  </si>
  <si>
    <t>Оценка динамич. эффектив. развит. предприним.: Моногр./К.В.Смицких-М.:ИЦ РИОР,НИЦ ИНФРА-М,2020-243с</t>
  </si>
  <si>
    <t>ОЦЕНКА ДИНАМИЧЕСКОЙ ЭФФЕКТИВНОСТИ РАЗВИТИЯ ПРЕДПРИНИМАТЕЛЬСТВА</t>
  </si>
  <si>
    <t>Смицких К.В., Терентьева Т.В.</t>
  </si>
  <si>
    <t>978-5-369-01743-2</t>
  </si>
  <si>
    <t>40.03.01, 43.03.01, 27.04.07</t>
  </si>
  <si>
    <t>Владивостокский Государственный Университет</t>
  </si>
  <si>
    <t>391400.07.01</t>
  </si>
  <si>
    <t>Оценка и сертификация квалификаций персонала в сист.:Моногр./Г.М.Романова-КУРС,НИЦ ИНФРА-М,2023-208с</t>
  </si>
  <si>
    <t>ОЦЕНКА И СЕРТИФИКАЦИЯ КВАЛИФИКАЦИЙ ПЕРСОНАЛА В СИСТЕМЕ ОТРАСЛЕВОГО УПРАВЛЕНИЯ НА ПРИМЕРЕ СФЕРЫ РЕКРЕАЦИИ И СПОРТИВНО-ОЗДОРОВИТЕЛЬНОГО ТУРИЗМА</t>
  </si>
  <si>
    <t>Романова Г.М., Савельева Н.А.</t>
  </si>
  <si>
    <t>978-5-905554-81-0</t>
  </si>
  <si>
    <t>23.03.01, 38.03.01, 38.03.03, 44.03.01, 41.03.06, 51.03.02</t>
  </si>
  <si>
    <t>153340.04.01</t>
  </si>
  <si>
    <t>Оценка эффективности функционир. предприним. струк..:Моногр. / А.Ю.Баранова-М.:ИНФРА-М,2020.-141с(О)</t>
  </si>
  <si>
    <t>ОЦЕНКА ЭФФЕКТИВНОСТИ ФУНКЦИОНИРОВАНИЯ ПРЕДПРИНИМАТЕЛЬСКИХ СТРУКТУР В ИНДУСТРИИ ГОСТЕПРИИМСТВА</t>
  </si>
  <si>
    <t>Баранова А.Ю.</t>
  </si>
  <si>
    <t>978-5-16-004986-1</t>
  </si>
  <si>
    <t>43.03.02, 43.03.03, 38.04.02, 38.04.04, 43.04.02, 43.04.03, 38.03.02, 38.03.04, 49.03.03, 41.03.06</t>
  </si>
  <si>
    <t>458350.07.01</t>
  </si>
  <si>
    <t>Поведение потребителей: Уч. / В.Н.Наумов - 2 изд. - М.:НИЦ ИНФРА-М,2023 - 345 с.(ВО: Бакалавриат)(П)</t>
  </si>
  <si>
    <t>ПОВЕДЕНИЕ ПОТРЕБИТЕЛЕЙ, ИЗД.2</t>
  </si>
  <si>
    <t>978-5-16-015021-5</t>
  </si>
  <si>
    <t>43.03.01, 38.04.01, 38.04.06, 38.04.02, 43.04.01, 38.03.01, 38.03.06, 38.03.02, 41.03.06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</si>
  <si>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 обучающихся по направлениям подготовки 38.03.02 «Менеджмент», 38.03.06 «Торговое дело», 43.03.01 «Сервис» (квалификация (степень) «бакалавр») (протокол № 19 от 09.12.2019)</t>
  </si>
  <si>
    <t>312600.06.01</t>
  </si>
  <si>
    <t>Поведение потребителей: Уч./ О.Н.Романенкова-М.:Вуз. уч., НИЦ ИНФРА-М,2024.-320 с.(П)</t>
  </si>
  <si>
    <t>ПОВЕДЕНИЕ ПОТРЕБИТЕЛЕЙ</t>
  </si>
  <si>
    <t>Романенкова О.Н.</t>
  </si>
  <si>
    <t>978-5-9558-0404-0</t>
  </si>
  <si>
    <t>38.02.04, 38.02.01, 38.02.03, 42.03.01, 42.04.01, 38.04.06, 38.04.02, 38.03.06, 38.03.02, 44.03.01, 44.03.05, 43.02.14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</si>
  <si>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заведении обучающихся по направлению подготовки 38.03.02 (080200.64) '¦Менеджмент» (квалификация (степень) "б</t>
  </si>
  <si>
    <t>140400.10.01</t>
  </si>
  <si>
    <t>Поведение потребителей: Уч.пос. / Л.С.Драганчук-М.:НИЦ ИНФРА-М,2024.-192 с.(ВО)(п)</t>
  </si>
  <si>
    <t>Драганчук Л.С.</t>
  </si>
  <si>
    <t>978-5-16-018917-8</t>
  </si>
  <si>
    <t>767390.01.01</t>
  </si>
  <si>
    <t>Полярный и Приполярный Урал: Путеводитель по перевалам / А.В.Затонский-М.:НИЦ ИНФРА-М,2022.-306 с.(П)</t>
  </si>
  <si>
    <t>ПОЛЯРНЫЙ И ПРИПОЛЯРНЫЙ УРАЛ: ПУТЕВОДИТЕЛЬ ПО ПЕРЕВАЛАМ</t>
  </si>
  <si>
    <t>Затонский А.В.</t>
  </si>
  <si>
    <t>Справочники ИНФРА-М</t>
  </si>
  <si>
    <t>978-5-16-017579-9</t>
  </si>
  <si>
    <t>ДОМ, БЫТ, ДОСУГ</t>
  </si>
  <si>
    <t>Туризм. Путеводители</t>
  </si>
  <si>
    <t>Путеводитель</t>
  </si>
  <si>
    <t>Дополнительное образование</t>
  </si>
  <si>
    <t>05.03.02, 43.03.02, 05.04.02, 41.04.02, 43.04.02, 41.03.02</t>
  </si>
  <si>
    <t>Пермский национальный исследовательский политехнический университет, Березниковский ф-л</t>
  </si>
  <si>
    <t>649240.03.01</t>
  </si>
  <si>
    <t>Правовое обеспечение гостиничной деят.: Уч.пос. /Н.А.Вотинцева-М.:ИЦ РИОР, НИЦ ИНФРА-М,2020-299с(ВО)</t>
  </si>
  <si>
    <t>ПРАВОВОЕ ОБЕСПЕЧЕНИЕ ГОСТИНИЧНОЙ ДЕЯТЕЛЬНОСТИ</t>
  </si>
  <si>
    <t>Вотинцева Н.А.</t>
  </si>
  <si>
    <t>978-5-369-01653-4</t>
  </si>
  <si>
    <t>Удмуртский государственный университет, ф-л в г. Можге</t>
  </si>
  <si>
    <t>684236.04.01</t>
  </si>
  <si>
    <t>Правовое регулир. финанс. поддержки субъектов малого..: Моногр. / Г.Ф.Ручкина - М.:НИЦ ИНФРА-М,2024-154с(О)</t>
  </si>
  <si>
    <t>ПРАВОВОЕ РЕГУЛИРОВАНИЕ ФИНАНСОВОЙ ПОДДЕРЖКИ СУБЪЕКТОВ МАЛОГО И СРЕДНЕГО ПРЕДПРИНИМАТЕЛЬСТВА</t>
  </si>
  <si>
    <t>Ручкина Г.Ф., Демченко М.В., Ключникова Я.А. и др.</t>
  </si>
  <si>
    <t>Научная мысль - Финансовый университет</t>
  </si>
  <si>
    <t>978-5-16-014207-4</t>
  </si>
  <si>
    <t>40.03.01, 40.04.01, 38.03.01, 44.03.01, 44.03.05</t>
  </si>
  <si>
    <t>811240.01.01</t>
  </si>
  <si>
    <t>Практика гостиничного и туристич. менеджмента: Уч.пос. / С.С.Скобин.-М.:Магистр, НИЦ ИНФРА-М,2024.-352 с.(п)</t>
  </si>
  <si>
    <t>ПРАКТИКА ГОСТИНИЧНОГО И ТУРИСТИЧЕСКОГО МЕНЕДЖМЕНТА</t>
  </si>
  <si>
    <t>Скобкин С.С., Попов Л.А., Ковальчук А.П.</t>
  </si>
  <si>
    <t>978-5-9776-0557-1</t>
  </si>
  <si>
    <t>274900.04.01</t>
  </si>
  <si>
    <t>Практика принятия решений в глобальном бизнесе / А.Г. Дементьева - М.: Магистр: ИНФРА-М, 2022-336с. (П)</t>
  </si>
  <si>
    <t>ПРАКТИКА ПРИНЯТИЯ РЕШЕНИЙ В ГЛОБАЛЬНОМ БИЗНЕСЕ</t>
  </si>
  <si>
    <t>Дементьева А. Г.</t>
  </si>
  <si>
    <t>978-5-9776-0314-0</t>
  </si>
  <si>
    <t>38.04.01, 38.04.02, 38.04.03, 38.03.01, 38.03.02, 38.03.03, 41.03.06</t>
  </si>
  <si>
    <t>Московский государственный институт международных отношений (университет) Министерства иностранных дел Российской Федерации</t>
  </si>
  <si>
    <t>085610.09.01</t>
  </si>
  <si>
    <t>Практикум по менеджменту туризма...: Уч.пос. / Н.А.Зайцева - 2 изд. - М.:Форум, НИЦ ИНФРА-М,2022 - 168 с.(О)</t>
  </si>
  <si>
    <t>ПРАКТИКУМ ПО МЕНЕДЖМЕНТУ ТУРИЗМА. СИТУАЦИИ И ТЕСТЫ, ИЗД.2</t>
  </si>
  <si>
    <t>978-5-91134-491-7</t>
  </si>
  <si>
    <t>Рекомендовано УМО учебных заведений РФ по образованию в области сервиса и туризма Министерства образования и науки России в качестве учебного пособия для студентов высших учебных заведений</t>
  </si>
  <si>
    <t>406200.06.01</t>
  </si>
  <si>
    <t>Предпринимательская деятельность в вузе как фак.:Моногр./Г.А.Резник-НИЦ ИНФРА-М,2018-224(Науч.мысль)(О)</t>
  </si>
  <si>
    <t>ПРЕДПРИНИМАТЕЛЬСКАЯ ДЕЯТЕЛЬНОСТЬ В ВУЗЕ КАК ФАКТОР ПОВЫШЕНИЯ ЕГО КОНКУРЕНТОСПОСОБНОСТИ. ТЕОРЕТИЧЕСКИЕ ПРОБЛЕМЫ, РЕАЛИИ И ПЕРСПЕКТИВЫ</t>
  </si>
  <si>
    <t>978-5-16-005713-2</t>
  </si>
  <si>
    <t>40.03.01, 38.04.01, 38.04.02, 38.03.01, 38.03.02, 41.03.06</t>
  </si>
  <si>
    <t>109750.10.01</t>
  </si>
  <si>
    <t>Предпринимательство в сфере сервиса: Уч.пос. / О.Н.Гукова - М.:Форум, НИЦ ИНФРА-М,2023 - 176 с.(СПО)(О)</t>
  </si>
  <si>
    <t>ПРЕДПРИНИМАТЕЛЬСТВО В СФЕРЕ СЕРВИСА</t>
  </si>
  <si>
    <t>978-5-91134-337-8</t>
  </si>
  <si>
    <t>43.01.09, 38.01.01, 43.01.07, 43.01.01, 43.01.08, 43.01.02, 43.01.03, 43.01.04, 43.01.05, 43.01.06, 38.01.02, 43.02.01, 43.02.07, 43.02.02, 43.02.05, 43.02.06, 43.02.04, 43.02.03, 43.02.08, 43.02.09, 43.02.10, 43.02.11, 43.02.15, 43.02.14, 43.02.12, 43.02.13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</si>
  <si>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</si>
  <si>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088800.20.01</t>
  </si>
  <si>
    <t>Предпринимательство: Уч. / М.Г.Лапуста - М.:НИЦ ИНФРА-М,2024 - 384 с.(ВО)(п)</t>
  </si>
  <si>
    <t>ПРЕДПРИНИМАТЕЛЬСТВО</t>
  </si>
  <si>
    <t>Лапуста М.Г.</t>
  </si>
  <si>
    <t>978-5-16-019212-3</t>
  </si>
  <si>
    <t>38.03.10, 35.02.12, 08.02.01, 08.02.07, 38.03.01, 38.03.05, 38.03.06, 38.03.07, 38.03.02, 38.03.04, 38.03.03, 11.02.15</t>
  </si>
  <si>
    <t>Рекомендовано Советом Учебно-методического объединения вузов России по образованию в области менеджмента в качестве учебника по управленческим дисциплинам</t>
  </si>
  <si>
    <t>689267.01.01</t>
  </si>
  <si>
    <t>Предпринимательство: Уч. / Под ред. Ползуновой Н.Н.-М.:НИЦ ИНФРА-М,2023.-413 с..-(ВО)(п)</t>
  </si>
  <si>
    <t>Ползунова Н.Н., Родионова Н.В., Моргунова Н.В. и др.</t>
  </si>
  <si>
    <t>978-5-16-017418-1</t>
  </si>
  <si>
    <t>38.04.06, 38.04.02, 38.03.01, 38.03.02</t>
  </si>
  <si>
    <t>Май, 2023</t>
  </si>
  <si>
    <t>483750.04.01</t>
  </si>
  <si>
    <t>Проблемы функционир. автотр. бизнеса..: Моног. / А.Д.Хмельницкий-М.:ИЦ РИОР,НИЦ ИНФРА-М,2024-244с(о)</t>
  </si>
  <si>
    <t>ПРОБЛЕМЫ ФУНКЦИОНИРОВАНИЯ АВТОТРАНСПОРТНОГО БИЗНЕСА: ЭВОЛЮЦИЯ ПРЕОБРАЗОВАНИЙ И СТРАТЕГИЧЕСКИЕ ОРИЕНТИРЫ РАЗВИТИЯ</t>
  </si>
  <si>
    <t>Хмельницкий А. Д.</t>
  </si>
  <si>
    <t>978-5-369-01405-9</t>
  </si>
  <si>
    <t>38.04.02, 23.04.01, 23.03.01, 38.03.02, 44.03.01</t>
  </si>
  <si>
    <t>Московский автомобильно-дорожный государственный технический университет</t>
  </si>
  <si>
    <t>159650.13.01</t>
  </si>
  <si>
    <t>Прогнозирование и планирование в условиях рынка: Уч.пос. / Т.Н.Бабич-М.:НИЦ ИНФРА-М,2024-336с(ВО)(П)</t>
  </si>
  <si>
    <t>ПРОГНОЗИРОВАНИЕ И ПЛАНИРОВАНИЕ В УСЛОВИЯХ РЫНКА</t>
  </si>
  <si>
    <t>Бабич Т. Н., Козьева И. А., Вертакова Ю. В., Кузьбожев Э. Н.</t>
  </si>
  <si>
    <t>978-5-16-004577-1</t>
  </si>
  <si>
    <t>43.02.10, 38.02.01, 38.04.09, 38.04.07, 38.04.01, 38.04.08, 38.04.06, 38.04.02, 38.04.04, 38.04.05, 38.05.01, 38.03.01, 38.03.05, 38.03.06, 38.03.07, 38.03.02, 38.03.04, 44.03.01, 41.03.06</t>
  </si>
  <si>
    <t>Допущено УМО по образованию в области производственного менеджмента в качестве учебного пособия для студентов высших учебных заведений, обучающихся по направлению подготовки 38.03.02 «Менеджмент» (профиль «Производственный менеджмент»)</t>
  </si>
  <si>
    <t>Юго-Западный государственный университет</t>
  </si>
  <si>
    <t>208300.04.01</t>
  </si>
  <si>
    <t>Продуктовые и процессные инновац. в маркетинге: Моногр./Н.С.Перекалина -М.:ИЦ РИОР, НИЦ ИНФРА-М,2020-250 с.(О)</t>
  </si>
  <si>
    <t>ПРОДУКТОВЫЕ И ПРОЦЕССНЫЕ ИННОВАЦИИ В МАРКЕТИНГЕ</t>
  </si>
  <si>
    <t>Перекалина Н. С., Казаков С. П., Рожков И. В.</t>
  </si>
  <si>
    <t>978-5-369-01212-3</t>
  </si>
  <si>
    <t>38.04.01, 38.04.06, 38.04.02, 38.06.01, 38.03.01, 38.03.06, 38.03.02</t>
  </si>
  <si>
    <t>701113.04.01</t>
  </si>
  <si>
    <t>Проектирование туристских кластеров: Моногр. / Д.А.Кощеев-М.:НИЦ ИНФРА-М,2020.-326 с.(Науч.мысль)(О)</t>
  </si>
  <si>
    <t>ПРОЕКТИРОВАНИЕ ТУРИСТСКИХ КЛАСТЕРОВ: СИСТЕМНО-АГЛОМЕРАЦИОННЫЙ ПОДХОД</t>
  </si>
  <si>
    <t>Кощеев Д.А., Исопескуль О.Ю.</t>
  </si>
  <si>
    <t>978-5-16-015195-3</t>
  </si>
  <si>
    <t>43.04.01, 43.04.02, 43.04.03, 38.06.01</t>
  </si>
  <si>
    <t>Национальный исследовательский университет "Высшая школа экономики", Пермский ф-л</t>
  </si>
  <si>
    <t>095940.16.01</t>
  </si>
  <si>
    <t>Профессиональная этика и психология дел. общ.: Уч. пос. / И.П.Кошевая - ФОРУМ: ИНФРА-М, 2024 - 304 с.(СПО)</t>
  </si>
  <si>
    <t>ПРОФЕССИОНАЛЬНАЯ ЭТИКА И ПСИХОЛОГИЯ ДЕЛОВОГО ОБЩЕНИЯ</t>
  </si>
  <si>
    <t>Кошевая И.П., Канке А.А.</t>
  </si>
  <si>
    <t>978-5-8199-0739-9</t>
  </si>
  <si>
    <t>13.02.03, 26.02.04, 31.02.01, 00.02.33, 09.02.06, 00.02.15, 00.01.04</t>
  </si>
  <si>
    <t>249800.07.01</t>
  </si>
  <si>
    <t>Профессиональное общение: Уч.пос. / О.Н. Гарькуша. - М.: ИЦ РИОР:  НИЦ ИНФРА-М, 2023-111с.(ПО)(п)</t>
  </si>
  <si>
    <t>ПРОФЕССИОНАЛЬНОЕ ОБЩЕНИЕ</t>
  </si>
  <si>
    <t>Гарькуша О.Н.</t>
  </si>
  <si>
    <t>978-5-369-01311-3</t>
  </si>
  <si>
    <t>13.02.05, 08.02.05, 00.02.34, 23.02.07, 00.01.04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</si>
  <si>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</si>
  <si>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</si>
  <si>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712986.08.01</t>
  </si>
  <si>
    <t>Психология делового общения: Уч. / Г.В.Бороздина - 3 изд. - М.:НИЦ ИНФРА-М,2019 - 320 с.-(СПО)(П</t>
  </si>
  <si>
    <t>ПСИХОЛОГИЯ ДЕЛОВОГО ОБЩЕНИЯ, ИЗД.3</t>
  </si>
  <si>
    <t>Бороздина Г.В.</t>
  </si>
  <si>
    <t>978-5-16-015397-1</t>
  </si>
  <si>
    <t>43.02.08, 23.02.04, 27.02.06, 27.02.07, 25.02.07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</si>
  <si>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</si>
  <si>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Белорусский государственный экономический университет</t>
  </si>
  <si>
    <t>011511.21.01</t>
  </si>
  <si>
    <t>Психология делового общения: Уч. / Г.В.Бороздина - 3 изд. - М.:НИЦ ИНФРА-М,2023 - 320 с.(ВО)(П)</t>
  </si>
  <si>
    <t>978-5-16-013292-1</t>
  </si>
  <si>
    <t>05.02.01, 05.02.02, 37.03.01, 40.03.01, 42.03.02, 42.03.01, 43.03.01, 43.03.02, 43.03.03, 42.03.05, 38.03.01, 38.03.02, 38.03.03, 37.03.02, 44.03.01, 44.03.02, 42.03.04</t>
  </si>
  <si>
    <t>Рекомендовано Учебно-методическим советом ВО в качестве учебника для студентов высших учебных заведений, обучающихся по укрупненным группам специальностей 38.00.00 «Экономика и управление», 40.00.00 «Юриспруденция» (квалификация (степень) «бакалавр»)</t>
  </si>
  <si>
    <t>0318</t>
  </si>
  <si>
    <t>172350.09.01</t>
  </si>
  <si>
    <t>Психология и социология в рекламе: Уч. пос./В.Л.Музыкант - М.: ИЦ РИОР:  НИЦ Инфра-М, 2022-218с.(ВО) (п)</t>
  </si>
  <si>
    <t>ПСИХОЛОГИЯ И СОЦИОЛОГИЯ В РЕКЛАМЕ</t>
  </si>
  <si>
    <t>978-5-369-00990-1</t>
  </si>
  <si>
    <t>Допущено Учебно-методическим объединением по образованию в области коммерции и маркетинга в качестве учебного пособия для студентов высших учебных заведений, обучающихся по спец. 032401-Реклама, 080111-Маркетинг и по напр 100700-Торг. дело</t>
  </si>
  <si>
    <t>654724.03.01</t>
  </si>
  <si>
    <t>Психология российского и международного бизнеса: Моногр. / Е.А.Руднев-М.:НИЦ ИНФРА-М,2019-139с(О)</t>
  </si>
  <si>
    <t>ПСИХОЛОГИЯ РОССИЙСКОГО И МЕЖДУНАРОДНОГО БИЗНЕСА</t>
  </si>
  <si>
    <t>Руднев Е.А.</t>
  </si>
  <si>
    <t>978-5-16-012797-2</t>
  </si>
  <si>
    <t>43.03.02, 43.03.03, 38.04.01, 38.04.02, 38.04.03, 38.04.04, 38.03.01, 38.03.02, 38.03.04, 38.03.03</t>
  </si>
  <si>
    <t>800250.01.01</t>
  </si>
  <si>
    <t>Развитие сферы услуг на основе клиентоориентир. подхода: Моногр. / Ю.С.Клюева.-М.:НИЦ ИНФРА-М,2023.-172 с.(о)</t>
  </si>
  <si>
    <t>РАЗВИТИЕ СФЕРЫ УСЛУГ НА ОСНОВЕ КЛИЕНТООРИЕНТИРОВАННОГО ПОДХОДА</t>
  </si>
  <si>
    <t>Груздева В.В., Груздев Г.В., Клюева Ю.С. и др.</t>
  </si>
  <si>
    <t>978-5-16-018322-0</t>
  </si>
  <si>
    <t>Нижегородский государственный инженерно-экономический университет</t>
  </si>
  <si>
    <t>Июль, 2023</t>
  </si>
  <si>
    <t>171350.07.01</t>
  </si>
  <si>
    <t>Разработка бизнес-плана...: Уч.пос. / Т.С.Бронникова - 2 изд. - М.:НИЦ ИНФРА-М,2022 - 215 с.(ВО)(П)</t>
  </si>
  <si>
    <t>РАЗРАБОТКА БИЗНЕС-ПЛАНА ПРОЕКТА, ИЗД.2</t>
  </si>
  <si>
    <t>Бронникова Т.С.</t>
  </si>
  <si>
    <t>978-5-16-013492-5</t>
  </si>
  <si>
    <t>43.02.10, 38.02.01, 38.04.02, 38.04.04, 38.03.01, 38.03.02, 38.03.04, 44.03.01, 41.03.06</t>
  </si>
  <si>
    <t>Допущено УМО по образованию в области производственного менеджмента в качестве учебного пособия для бакалавров высших учебных заведений, обучающихся по направлению подготовки 38.03.02 «Менеджмент»</t>
  </si>
  <si>
    <t>126600.12.01</t>
  </si>
  <si>
    <t>Разработка рекламного продукта: Уч.пос. / А.А.Романов.-М.:Вуз. уч., ИНФРА-М ,2024.-256 с.(п)</t>
  </si>
  <si>
    <t>РАЗРАБОТКА РЕКЛАМНОГО ПРОДУКТА</t>
  </si>
  <si>
    <t>Романов А.А., Васильев Г.А., Поляков В.А.</t>
  </si>
  <si>
    <t>978-5-9558-0124-7</t>
  </si>
  <si>
    <t>42.03.01</t>
  </si>
  <si>
    <t>Допущено УМО по образованию в области коммерции в качестве доп. литературы для студентов высших учебных заведений, обучающихся по специальности 032401 "Реклама"</t>
  </si>
  <si>
    <t>175100.10.01</t>
  </si>
  <si>
    <t>Реклама в туризме: Уч. / Под ред. Богданова Е.И. - М.:НИЦ ИНФРА-М,2022 - 170 с.-(ВО: Бакалавриат)(П)</t>
  </si>
  <si>
    <t>РЕКЛАМА В ТУРИЗМЕ</t>
  </si>
  <si>
    <t>978-5-16-004905-2</t>
  </si>
  <si>
    <t>43.03.02, 43.03.03, 49.03.03</t>
  </si>
  <si>
    <t>Рекомендовано Учебно-методическим объединением по образованию в области производственного менеджмента Министерства образования и науки Российской Федерации в качестве учебника для студентов высших учебных заведений, обучающихся по специальности «Экономика и управление на предприятии туризма» и направлению 38.03.02 «Менеджмент» (профиль «Производственный менеджмент в туризме»)</t>
  </si>
  <si>
    <t>027756.16.01</t>
  </si>
  <si>
    <t>Реклама в туризме: Уч.пос. / А.П.Дурович - 5 изд. - М.:НИЦ ИНФРА-М,2023 - 158 с.-(ВО: Бакалавр.)(П)</t>
  </si>
  <si>
    <t>РЕКЛАМА В ТУРИЗМЕ, ИЗД.5</t>
  </si>
  <si>
    <t>978-5-16-015516-6</t>
  </si>
  <si>
    <t>43.03.01, 43.03.02, 43.03.03, 43.04.01, 43.04.02, 43.04.03</t>
  </si>
  <si>
    <t>Рекомендовано УМО учебных заведений Российской Федерации по образованию в области сервиса и туризма в качестве учебного пособия для студентов высших учебных заведений, обучающихся по специальности 100103 «Социально-культурный сервис и туризм»</t>
  </si>
  <si>
    <t>0510</t>
  </si>
  <si>
    <t>152650.08.01</t>
  </si>
  <si>
    <t>Реклама: Уч.пос. / В.Л.Музыкант-М.:ИЦ РИОР, НИЦ ИНФРА-М,2019-208с.(ВО:Бакалавриат.Азбука рекламы)(П)</t>
  </si>
  <si>
    <t>РЕКЛАМА</t>
  </si>
  <si>
    <t>978-5-369-00780-8</t>
  </si>
  <si>
    <t>43.03.01, 43.03.03, 38.04.06, 38.04.02, 38.04.04, 43.04.01, 43.04.03, 38.03.06, 38.03.02, 38.03.04, 41.03.06</t>
  </si>
  <si>
    <t>Допущено УМО по образованию в области коммерции в качестве учебного пособия для студентов вузов, обучающихся по специальностям 032401 - "Реклама" и 080111 - "Маркетинг"</t>
  </si>
  <si>
    <t>083200.06.01</t>
  </si>
  <si>
    <t>Реклама: Уч.пос. / Е.А.Замедлина, - 2-е изд.-М.:ИЦ РИОР, ИНФРА-М Издательский Дом,2023.-118 с..(о.к/ф)</t>
  </si>
  <si>
    <t>РЕКЛАМА, ИЗД.2</t>
  </si>
  <si>
    <t>Замедлина Е. А.</t>
  </si>
  <si>
    <t>Карманное учебное пособие</t>
  </si>
  <si>
    <t>978-5-369-00921-5</t>
  </si>
  <si>
    <t>42.03.01, 42.04.01, 38.04.06, 38.04.04, 38.03.06, 38.03.04, 41.03.06</t>
  </si>
  <si>
    <t>074320.03.01</t>
  </si>
  <si>
    <t>Реклама: Шпаргалка - М.:ИЦ РИОР - 145 с.-(Шпаргалка [отрывная])(О)</t>
  </si>
  <si>
    <t>978-5-369-00667-2</t>
  </si>
  <si>
    <t>42.02.01, 42.03.01</t>
  </si>
  <si>
    <t>421800.06.01</t>
  </si>
  <si>
    <t>Рекламная деятельность в торговле: Уч. / В.Н.Хапенков. - М.: ИД ФОРУМ:НИЦ ИНФРА-М, 2024-368с.(ВО) (п)</t>
  </si>
  <si>
    <t>РЕКЛАМНАЯ ДЕЯТЕЛЬНОСТЬ В ТОРГОВЛЕ</t>
  </si>
  <si>
    <t>Хапенков В. Н., Иванов Г. Г., Федюнин Д. В.</t>
  </si>
  <si>
    <t>978-5-8199-0533-3</t>
  </si>
  <si>
    <t>42.03.01, 38.03.06</t>
  </si>
  <si>
    <t>204500.07.01</t>
  </si>
  <si>
    <t>Рекламная деятельность: Уч. / Под ред. В.Д. Секерина. - М.: НИЦ ИНФРА-М, 2023-282с.(ВО:Бакалавр.) (П)</t>
  </si>
  <si>
    <t>РЕКЛАМНАЯ ДЕЯТЕЛЬНОСТЬ</t>
  </si>
  <si>
    <t>978-5-16-005684-5</t>
  </si>
  <si>
    <t>42.03.01, 42.04.01, 38.04.01, 38.03.01, 38.03.06, 41.03.06</t>
  </si>
  <si>
    <t>Рекомендовано Советом Учебно-методического объединения по образованию в области менеджмента в качестве учебника для студентов высших учебных заведений, обучающихся по направлению подготовки 080200.68 «Менеджмент» (квалификация (степень) — «магистр»)</t>
  </si>
  <si>
    <t>205700.08.01</t>
  </si>
  <si>
    <t>Рекламная деятельность: Уч. / Ю.В.Гусаров - М.: НИЦ ИНФРА-М, 2024 - 313 с.(ВО:Бакалавр.) (П)</t>
  </si>
  <si>
    <t>Гусаров Ю. В., Гусарова Л. Ф.</t>
  </si>
  <si>
    <t>978-5-16-005525-1</t>
  </si>
  <si>
    <t>38.04.01, 38.04.02, 38.03.01, 38.03.06, 38.03.02, 41.03.06</t>
  </si>
  <si>
    <t>Рекомендовано ФГБОУ ВПО «Санкт-Петербургский государственный университет сервиса и экономики» в качестве учебника для студентов высших учебных заведений, обучающихся по направлению 100700.62 «Торговое дело».</t>
  </si>
  <si>
    <t>766719.01.01</t>
  </si>
  <si>
    <t>Рекламная и PR-деят. гостиничного предпр.: Уч.пос. / И.С.Ключевская-М.:НИЦ ИНФРА-М,2023.-359 с.(ВО)(п)</t>
  </si>
  <si>
    <t>РЕКЛАМНАЯ И PR-ДЕЯТЕЛЬНОСТЬ ГОСТИНИЧНОГО ПРЕДПРИЯТИЯ</t>
  </si>
  <si>
    <t>978-5-16-017423-5</t>
  </si>
  <si>
    <t>43.02.10, 42.02.01, 43.03.01, 43.03.02, 43.03.03</t>
  </si>
  <si>
    <t>Март, 2023</t>
  </si>
  <si>
    <t>806129.01.01</t>
  </si>
  <si>
    <t>Рекламная и PR-деят. гостиничного предпр.: Уч.пос. / И.С.Ключевская-М.:НИЦ ИНФРА-М,2023.-359 с.(СПО)(п)</t>
  </si>
  <si>
    <t>978-5-16-018645-0</t>
  </si>
  <si>
    <t>43.02.10, 43.02.11, 42.02.01, 43.03.01, 43.03.02, 43.03.03</t>
  </si>
  <si>
    <t>632123.05.01</t>
  </si>
  <si>
    <t>Рекламная коммуникация в сфере туризма: Моногр. / Л.М.Гончарова - М.:НИЦ ИНФРА-М,2022-158с(Науч.мысль)(П)</t>
  </si>
  <si>
    <t>РЕКЛАМНАЯ КОММУНИКАЦИЯ В СФЕРЕ ТУРИЗМА</t>
  </si>
  <si>
    <t>Гончарова Л.М.</t>
  </si>
  <si>
    <t>978-5-16-011969-4</t>
  </si>
  <si>
    <t>42.03.01, 42.04.01</t>
  </si>
  <si>
    <t>Государственный институт русского языка им. А.С. Пушкина</t>
  </si>
  <si>
    <t>174050.12.01</t>
  </si>
  <si>
    <t>Рекламный менеджмент: Уч.пос. / В.А.Поляков - М.:КУРС, НИЦ ИНФРА-М,2023 - 352 с.(П)</t>
  </si>
  <si>
    <t>РЕКЛАМНЫЙ МЕНЕДЖМЕНТ</t>
  </si>
  <si>
    <t>Поляков В. А., Романов А. А.</t>
  </si>
  <si>
    <t>978-5-905554-07-0</t>
  </si>
  <si>
    <t>38.03.06, 38.03.02</t>
  </si>
  <si>
    <t>Рекомендовано Учебно-методическим объединением по образованию в области статистики в качестве учебного пособия для студентов высших учебных заведений, обучающихся по направлению «Статистика» и другим экономическим специальностям (Бакалавр)</t>
  </si>
  <si>
    <t>Финансовый университет при Правительстве Российской Федерации, Тульский ф-л</t>
  </si>
  <si>
    <t>783576.01.01</t>
  </si>
  <si>
    <t>Рекреационный туризм: крымские перспективы: Уч.пос. / В.В.Селиванов-М.:НИЦ ИНФРА-М,2023.-207 с.(П)</t>
  </si>
  <si>
    <t>РЕКРЕАЦИОННЫЙ ТУРИЗМ: КРЫМСКИЕ ПЕРСПЕКТИВЫ</t>
  </si>
  <si>
    <t>Селиванов В.В.</t>
  </si>
  <si>
    <t>Высшее образование (КрымФУ)</t>
  </si>
  <si>
    <t>978-5-16-017887-5</t>
  </si>
  <si>
    <t>43.03.02, 43.03.03, 43.04.02, 49.03.03</t>
  </si>
  <si>
    <t>Крымский федеральный университет им. В.И. Вернадского, ф-л Гуманитарно-педагогическая академия</t>
  </si>
  <si>
    <t>711874.03.01</t>
  </si>
  <si>
    <t>Рынок халяль в России: теория, практика..: Моногр. / Ш.А.Шовхалов - М.:НИЦ ИНФРА-М,2024 - 243 с.(Науч.мысль)(О)</t>
  </si>
  <si>
    <t>РЫНОК ХАЛЯЛЬ В РОССИИ: ТЕОРИЯ, ПРАКТИКА И ПЕРСПЕКТИВЫ РАЗВИТИЯ</t>
  </si>
  <si>
    <t>Шовхалов Ш.А.</t>
  </si>
  <si>
    <t>978-5-16-015646-0</t>
  </si>
  <si>
    <t>692979.02.01</t>
  </si>
  <si>
    <t>Рыночная инфраструктура...: Моногр. / Ю.Ю.Суслова.-М.:НИЦ ИНФРА-М,2023.-159 с.(Науч.мысль (СФУ))(О)</t>
  </si>
  <si>
    <t>РЫНОЧНАЯ ИНФРАСТРУКТУРА: ОРГАНИЗАЦИОННО-ПРАКТИЧЕСКИЙ АСПЕКТ</t>
  </si>
  <si>
    <t>Суслова Ю.Ю., Щербенко Е.В., Волошин А.В.</t>
  </si>
  <si>
    <t>Научная мысль (СФУ)</t>
  </si>
  <si>
    <t>978-5-16-014548-8</t>
  </si>
  <si>
    <t>38.04.01, 38.04.02, 38.04.04, 38.03.01, 38.03.04, 44.03.01</t>
  </si>
  <si>
    <t>132700.08.01</t>
  </si>
  <si>
    <t>Санаторно-курортное дело: Уч. / Г.И.Молчанов, Н.Г.Бондаренко - М.: Альфа-М:  ИНФРА-М, 2024-400с. (п)</t>
  </si>
  <si>
    <t>САНАТОРНО-КУРОРТНОЕ ДЕЛО</t>
  </si>
  <si>
    <t>Молчанов Г. И., Бондаренко Н. Г., Дегтярева И. Н., Кубалова Л. М., Молчанов А. А.</t>
  </si>
  <si>
    <t>978-5-98281-171-4</t>
  </si>
  <si>
    <t>43.03.03, 49.03.03</t>
  </si>
  <si>
    <t>Северо-Осетинский государственный университет им. К.Л. Хетагурова</t>
  </si>
  <si>
    <t>683107.02.01</t>
  </si>
  <si>
    <t>Санаторно-курортное дело: Уч. / Под ред. Молчанова Г.И. - М.:НИЦ ИНФРА-М,2023 - 397 с.(СПО)(П)</t>
  </si>
  <si>
    <t>Молчанов Г.И., Бондаренко Н.Г., Дегтярева И.Н. и др.</t>
  </si>
  <si>
    <t>978-5-16-016935-4</t>
  </si>
  <si>
    <t>43.02.01, 43.02.10, 43.02.11, 43.02.14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</si>
  <si>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</si>
  <si>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686658.05.01</t>
  </si>
  <si>
    <t>Санитария и гигиена парикмахерских услуг: Уч.пос. / И.С.Тундалева - М.:НИЦ ИНФРА-М,2023 - 205 с(СПО)(П)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</si>
  <si>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</si>
  <si>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</si>
  <si>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</si>
  <si>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078660.04.01</t>
  </si>
  <si>
    <t>Связи с общественностью (паблик рилейшнз): Шпаргалка - М.:ИЦ РИОР,2020 - 125 с.(Шпаргалка [отрывная])(О)</t>
  </si>
  <si>
    <t>СВЯЗИ С ОБЩЕСТВЕННОСТЬЮ (ПАБЛИК РИЛЕЙШНЗ)</t>
  </si>
  <si>
    <t>Без автора</t>
  </si>
  <si>
    <t>978-5-369-00121-9</t>
  </si>
  <si>
    <t>051740.10.01</t>
  </si>
  <si>
    <t>Связи с общественностью / М.И. Тимофеев - 4 изд. - М.:РИОР,2018 - 192с(Карм. уч. пос.).(к/ф.) (о)</t>
  </si>
  <si>
    <t>СВЯЗИ С ОБЩЕСТВЕННОСТЬЮ (ПАБЛИК РИЛЕЙШНЗ), ИЗД.4</t>
  </si>
  <si>
    <t>Тимофеев М. И.</t>
  </si>
  <si>
    <t>978-5-369-00534-7</t>
  </si>
  <si>
    <t>42.03.01, 42.04.01, 42.04.02, 39.04.01, 39.03.01, 41.03.06</t>
  </si>
  <si>
    <t>0409</t>
  </si>
  <si>
    <t>414100.08.01</t>
  </si>
  <si>
    <t>Связи с общественностью в органах власти: Уч./ А.А. Марков. - М.: НИЦ ИНФРА-М, 2024. - 190 с. (ВО)(о)</t>
  </si>
  <si>
    <t>СВЯЗИ С ОБЩЕСТВЕННОСТЬЮ В ОРГАНАХ ВЛАСТИ</t>
  </si>
  <si>
    <t>Марков А. А.</t>
  </si>
  <si>
    <t>978-5-16-006212-9</t>
  </si>
  <si>
    <t>42.03.01, 42.04.01, 38.04.04, 38.03.04, 41.03.06</t>
  </si>
  <si>
    <t>Допущено Учебно-методическим объединением вузов Российской Федерации по образованию в области международных отношений в качестве учебного пособия для студентов вузов, обучающихся по направлению подготовки (специальности) «Реклама и связи с общественн</t>
  </si>
  <si>
    <t>367000.08.01</t>
  </si>
  <si>
    <t>Сенсорный анализ продовольсв. товаров на предпр..: Уч. / Н.В.Заворохина-2 изд-М: ИНФРА-М, 2023-172с.(ВО)(п)</t>
  </si>
  <si>
    <t>СЕНСОРНЫЙ АНАЛИЗ ПРОДОВОЛЬСТВЕННЫХ ТОВАРОВ НА ПРЕДПРИЯТИЯХ ПИЩЕВОЙ ПРОМЫШЛЕННОСТИ, ТОРГОВЛИ И ОБЩЕСТВЕННОГО ПИТАНИЯ, ИЗД.2</t>
  </si>
  <si>
    <t>Заворохина Н.В., Голуб О.В., Позняковский В.М.</t>
  </si>
  <si>
    <t>978-5-16-017965-0</t>
  </si>
  <si>
    <t>19.03.04, 38.04.07, 19.04.04, 38.03.06, 38.03.07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</si>
  <si>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38.03.07 «Товароведение», 19.03.04 «Технология продукции и организация общественного питания», 38.03.06 «Торговое дело», 19.03.01 «Пищевая биотехнология» (квалификация (степень) «бакалавр») (протокол № 7 от 21.09.2022)</t>
  </si>
  <si>
    <t>Декабрь, 2022</t>
  </si>
  <si>
    <t>367000.07.01</t>
  </si>
  <si>
    <t>Сенсорный анализ продовольств. товаров на предпр.: Уч. / Н.В.Заворохина - М.:НИЦ ИНФРА-М,2022-144с(ВО)(О)</t>
  </si>
  <si>
    <t>СЕНСОРНЫЙ АНАЛИЗ ПРОДОВОЛЬСТВЕННЫХ ТОВАРОВ НА ПРЕДПРИЯТИЯХ ПИЩЕВОЙ ПРОМЫШЛЕННОСТИ, ТОРГОВЛИ И ОБЩЕСТВЕННОГО ПИТАНИЯ</t>
  </si>
  <si>
    <t>978-5-16-011493-4</t>
  </si>
  <si>
    <t>Рекомендовано в качестве учебника для студентов высших учебных заведений, обучающихся по направлениям подготовки 38.03.07 «Товароведение», 19.03.04 «Технология продукции и организация общественного питания», 38.03.06 «Торговое дело» (квалификация (степень) «бакалавр»)</t>
  </si>
  <si>
    <t>654677.03.01</t>
  </si>
  <si>
    <t>Сервис: термины и понятия: Сл./ Под ред. Гойхмана О.Я.-М.:НИЦ ИНФРА-М,2023-239с(Б-ка сл. ИНФРА-М)(П)</t>
  </si>
  <si>
    <t>СЕРВИС: ТЕРМИНЫ И ПОНЯТИЯ</t>
  </si>
  <si>
    <t>Гойхман О.Я., Зворыкина Т.И., Гончарова Л.М. и др.</t>
  </si>
  <si>
    <t>978-5-16-014474-0</t>
  </si>
  <si>
    <t>736523.05.01</t>
  </si>
  <si>
    <t>Сервисная деятельность: Уч. / Г.А.Резник - М.:НИЦ ИНФРА-М,2023 - 202 с.-(СПО)(П)</t>
  </si>
  <si>
    <t>СЕРВИСНАЯ ДЕЯТЕЛЬНОСТЬ</t>
  </si>
  <si>
    <t>Резник Г.А., Маскаева А.И., Пономаренко Ю.С.</t>
  </si>
  <si>
    <t>978-5-16-016211-9</t>
  </si>
  <si>
    <t>43.02.02, 43.02.06, 43.02.04, 43.02.03, 43.02.12, 43.02.13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</si>
  <si>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</si>
  <si>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426700.08.01</t>
  </si>
  <si>
    <t>Сервисная деятельность: Уч. / Г.А.Резник и др. - М.:НИЦ ИНФРА-М,2024 - 202 с.-(ВО: Бакалавриат)(П)</t>
  </si>
  <si>
    <t>978-5-16-005710-1</t>
  </si>
  <si>
    <t>43.03.01, 43.03.03, 38.04.02, 43.04.01, 38.03.02, 41.03.06, 43.02.13</t>
  </si>
  <si>
    <t>Рекомендуется в качестве учебника для студентов высших учебных заведений, обучающихся по направлению подготовки 43.03.01 «Сервис»</t>
  </si>
  <si>
    <t>118550.07.01</t>
  </si>
  <si>
    <t>Сервисная деятельность: Уч.пос. / Ю.П.Свириденко - 2 изд. - М.:НИЦ ИНФРА-М,2022 - 174 с.-(ВО)(П)</t>
  </si>
  <si>
    <t>СЕРВИСНАЯ ДЕЯТЕЛЬНОСТЬ, ИЗД.2</t>
  </si>
  <si>
    <t>Свириденко Ю. П., Хмелев В. В.</t>
  </si>
  <si>
    <t>978-5-16-014846-5</t>
  </si>
  <si>
    <t>43.03.01, 43.03.03, 43.04.03</t>
  </si>
  <si>
    <t>Рекомендовано в качестве учебного пособия для студентов высших учебных заведений, обучающихся по направлениям подготовки 43.03.03 «Гостиничное дело», 43.03.02 «Туризм» (квалификация (степень) «бакалавр»)</t>
  </si>
  <si>
    <t>414850.05.01</t>
  </si>
  <si>
    <t>Сетевой ритейл: концепции и стратегии...: Моногр./ В.П.Чеглов-М.:НИЦ ИНФРА-М, Вуз.уч.,2019-205с(П)</t>
  </si>
  <si>
    <t>СЕТЕВОЙ РИТЕЙЛ: КОНЦЕПЦИИ И СТРАТЕГИИ, ЛОВУШКИ И РЕШЕНИЯ</t>
  </si>
  <si>
    <t>Чеглов В. П.</t>
  </si>
  <si>
    <t>978-5-9558-0295-4</t>
  </si>
  <si>
    <t>43.03.01, 38.04.07, 38.04.01, 38.04.06, 38.04.02, 43.04.01, 38.03.01, 38.03.06, 38.03.07, 38.03.02, 41.03.06</t>
  </si>
  <si>
    <t>800901.01.01</t>
  </si>
  <si>
    <t>Система взаим. страх. в Тульской губернии во втор. пол... / Е.И.Зубарева-М.:НИЦ ИНФРА-М,2023.-173 с.(п)</t>
  </si>
  <si>
    <t>СИСТЕМА ВЗАИМНОГО СТРАХОВАНИЯ В ТУЛЬСКОЙ ГУБЕРНИИ ВО ВТОРОЙ ПОЛОВИНЕ XIX - НАЧАЛЕ XX ВЕКА</t>
  </si>
  <si>
    <t>Зубарева Е.И.</t>
  </si>
  <si>
    <t>978-5-16-018472-2</t>
  </si>
  <si>
    <t>38.04.01, 38.06.01</t>
  </si>
  <si>
    <t>441900.04.01</t>
  </si>
  <si>
    <t>Система маркетинг.инструм..: Моногр. / С.В.Карпова - М.:Вуз.уч.,НИЦ ИНФРА-М,2018-216с(Науч.книга)(о)</t>
  </si>
  <si>
    <t>СИСТЕМА МАРКЕТИНГОВЫХ ИНСТРУМЕНТОВ И МЕХАНИЗМОВ ИХ РЕАЛИЗАЦИИ  В ПЛАНИРОВАНИИ ТЕРРИТОРИАЛЬНОГО РАЗВИТИЯ</t>
  </si>
  <si>
    <t>Карпова С.В., Касаев Б.С., Климов Д.В.</t>
  </si>
  <si>
    <t>978-5-9558-0467-5</t>
  </si>
  <si>
    <t>38.04.01, 44.03.01, 44.03.05</t>
  </si>
  <si>
    <t>771268.02.01</t>
  </si>
  <si>
    <t>Снабжение и сбыт: Уч. / Г.Д.Антонов и др. - М.:НИЦ ИНФРА-М,2023 - 298 с.(ВО: Бакалавриат)(П)</t>
  </si>
  <si>
    <t>СНАБЖЕНИЕ И СБЫТ</t>
  </si>
  <si>
    <t>Антонов Г.Д., Иванова О.П., Тумин В.М. и др.</t>
  </si>
  <si>
    <t>978-5-16-017415-0</t>
  </si>
  <si>
    <t>38.03.01, 38.03.06, 38.03.02, 38.03.04</t>
  </si>
  <si>
    <t>Допущено Учебно-методическим объединением вузов России по образованию в области производственного менеджмента для студентов высших учебных заведений, обучающихся по направлению подготовки 38.03.02 «Менеджмент» (профиль «Производственный менеджмент»), по магистерской программе «Производственный менеджмент», а также для экономико-организационной подготовки студентов технологических направлений и специальностей по дисциплинам экономико-организационного и управленческого циклов</t>
  </si>
  <si>
    <t>Институт повышения квалификации и профессиональной переподготовки кадров</t>
  </si>
  <si>
    <t>464450.04.01</t>
  </si>
  <si>
    <t>Современная торговля: вопросы...: Моногр. / Под ред. Орлова С.Л.-М.:ИД ФОРУМ, НИЦ ИНФРА-М,2019-192с.</t>
  </si>
  <si>
    <t>СОВРЕМЕННАЯ ТОРГОВЛЯ: ВОПРОСЫ КОНКУРЕНТОСПОСОБНОСТИ И СОЦИАЛЬНОЙ ПОЛИТИКИ</t>
  </si>
  <si>
    <t>Брагин Л.А., Иванов Г.Г., Орлов С.Л. и др.</t>
  </si>
  <si>
    <t>978-5-8199-0873-0</t>
  </si>
  <si>
    <t>38.04.07</t>
  </si>
  <si>
    <t>402500.07.01</t>
  </si>
  <si>
    <t>Современные потребительские тренды...:Моногр./О.К.Ойнер-М.:НИЦ ИНФРА-М,2023.-142с.(Научная мысль)</t>
  </si>
  <si>
    <t>СОВРЕМЕННЫЕ ПОТРЕБИТЕЛЬСКИЕ ТРЕНДЫ И УДОВЛЕТВОРЕННОСТЬ ПОТРЕБИТЕЛЯ</t>
  </si>
  <si>
    <t>Ойнер О.К.</t>
  </si>
  <si>
    <t>978-5-16-006115-3</t>
  </si>
  <si>
    <t>43.03.01, 38.04.01, 38.04.02, 38.03.01, 38.03.06, 38.03.02, 44.03.01, 44.03.05, 41.03.06</t>
  </si>
  <si>
    <t>698700.03.01</t>
  </si>
  <si>
    <t>Современные тенденции и инновац. методы...: Уч.пос. / Ш.Ф.Фарахутдинов-М.:НИЦ ИНФРА-М,2023.-231с(П)</t>
  </si>
  <si>
    <t>СОВРЕМЕННЫЕ ТЕНДЕНЦИИ И ИННОВАЦИОННЫЕ МЕТОДЫ В МАРКЕТИНГОВЫХ ИССЛЕДОВАНИЯХ</t>
  </si>
  <si>
    <t>Фарахутдинов Ш.Ф.</t>
  </si>
  <si>
    <t>978-5-16-018721-1</t>
  </si>
  <si>
    <t>39.04.01, 38.04.03, 38.03.01, 38.03.06, 38.03.02, 38.03.04, 38.03.03, 39.03.01, 39.03.02, 39.03.03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</si>
  <si>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 по укрупненным направлениям подготовки 38.00.00 «Экономика и управление», 39.00.00 «Социология и социальная работа» (квалификация (степень) «бакалавр») (протокол № 8 от 22.06.2020)</t>
  </si>
  <si>
    <t>Тюменский индустриальный университет</t>
  </si>
  <si>
    <t>354100.09.01</t>
  </si>
  <si>
    <t>Современные формы обслуживания..: Уч. пос. / Т.А. Джум - М.: Магистр, НИЦ ИНФРА-М, 2024. - 528 с.(П)</t>
  </si>
  <si>
    <t>СОВРЕМЕННЫЕ ФОРМЫ ОБСЛУЖИВАНИЯ В РЕСТОРАННОМ БИЗНЕСЕ</t>
  </si>
  <si>
    <t>Т.А.Джум, Г.М.Зайко</t>
  </si>
  <si>
    <t>43.03.01, 19.03.04, 43.04.01, 19.04.04</t>
  </si>
  <si>
    <t>653220.02.01</t>
  </si>
  <si>
    <t>Сопротивление материалов: теория, тестовые..: Уч.пос. /С.Г.Сидорин-М.:ИЦ РИОР, НИЦ ИНФРА-М,2018-184с</t>
  </si>
  <si>
    <t>СОПРОТИВЛЕНИЕ МАТЕРИАЛОВ: ТЕОРИЯ, ТЕСТОВЫЕ ЗАДАНИЯ, ПРИМЕРЫ РЕШЕНИЯ</t>
  </si>
  <si>
    <t>Сидорин С.Г., Хайруллин Ф.С.</t>
  </si>
  <si>
    <t>978-5-369-01694-7</t>
  </si>
  <si>
    <t>00.03.37</t>
  </si>
  <si>
    <t>Казанский национальный исследовательский технологический университет</t>
  </si>
  <si>
    <t>649647.04.01</t>
  </si>
  <si>
    <t>Социальная реклама: конструир.в эффект взаимод..: Моногр. / С.Б.Калмыков-М.:НИЦ ИНФРА-М,2021-229с(п)</t>
  </si>
  <si>
    <t>СОЦИАЛЬНАЯ РЕКЛАМА: КОНСТРУИРОВАНИЕ ЭФФЕКТИВНОГО ВЗАИМОДЕЙСТВИЯ С ЦЕЛЕВОЙ АУДИТОРИЕЙ</t>
  </si>
  <si>
    <t>Калмыков С.Б., Пашин Н.П.</t>
  </si>
  <si>
    <t>978-5-16-012554-1</t>
  </si>
  <si>
    <t>42.04.01</t>
  </si>
  <si>
    <t>Оптимал</t>
  </si>
  <si>
    <t>159250.08.01</t>
  </si>
  <si>
    <t>Социальная реклама: Уч.пос. / Б.Р.Мандель - М.:Вуз. уч.,ИНФРА-М,2024 - 302 с.(п)</t>
  </si>
  <si>
    <t>СОЦИАЛЬНАЯ РЕКЛАМА</t>
  </si>
  <si>
    <t>Мандель Б. Р.</t>
  </si>
  <si>
    <t>978-5-9558-0177-3</t>
  </si>
  <si>
    <t>42.03.01, 39.04.02, 39.04.01, 38.04.06, 38.03.06, 39.03.01, 39.03.02, 41.03.06</t>
  </si>
  <si>
    <t>Допущено Уебно-методическим объединением вузов России по образованию в области коммерции в качестве учебного пособия для студентов высших учебных заведений, обучающихся по специальности 03401 "Реклама"</t>
  </si>
  <si>
    <t>172600.04.01</t>
  </si>
  <si>
    <t>Социология рекламной деятельности: Уч. / А.Б.Оришев-М.:ИЦ РИОР,НИЦ ИНФРА-М,2019-235с.-(ВО:Бакалавр.)(П)</t>
  </si>
  <si>
    <t>СОЦИОЛОГИЯ РЕКЛАМНОЙ ДЕЯТЕЛЬНОСТИ</t>
  </si>
  <si>
    <t>Оришев А. Б.</t>
  </si>
  <si>
    <t>978-5-369-01064-8</t>
  </si>
  <si>
    <t>Допущено Учебно-методическим объединением по образованию в области коммерции и по образованию в области маркетинга в качестве учебника для студентов высших учебных заведений, обучающихся по специальностям 032401 - Реклама, 080111 - Маркетинг и по нап</t>
  </si>
  <si>
    <t>135950.08.01</t>
  </si>
  <si>
    <t>Социология рекламы в социал.-культ. сервисе и туризме: Уч.пос. / О.С.Бухтерева - ИНФРА-М, 2023-128с.(ВО) (о)</t>
  </si>
  <si>
    <t>СОЦИОЛОГИЯ РЕКЛАМЫ В СОЦИАЛЬНО-КУЛЬТУРНОМ СЕРВИСЕ И ТУРИЗМЕ</t>
  </si>
  <si>
    <t>Бухтерева О. С.</t>
  </si>
  <si>
    <t>978-5-16-004409-5</t>
  </si>
  <si>
    <t>42.03.01, 43.03.03, 43.04.03</t>
  </si>
  <si>
    <t>313300.08.01</t>
  </si>
  <si>
    <t>Стандартизация и контроль качества турист.услуг: Уч.пос./О.М.Пахомова-НИЦ ИНФРА-М,2024-135с(ВО:Бак.)</t>
  </si>
  <si>
    <t>СТАНДАРТИЗАЦИЯ И КОНТРОЛЬ КАЧЕСТВА ТУРИСТСКИХ УСЛУГ</t>
  </si>
  <si>
    <t>Пахомова О.М.</t>
  </si>
  <si>
    <t>978-5-16-010354-9</t>
  </si>
  <si>
    <t>43.03.02</t>
  </si>
  <si>
    <t>Рекомендуется ФГБОУ ВПО «Российский государственный университет туризма и сервиса» в качестве учебного пособия к использованию в образовательных учреждениях ВО, реализующих образовательную программу высшего профессионального образования по направлению 43.03.02 «Туризм» (регистрационный номер 3056 от 17.06.2015 МГУП)</t>
  </si>
  <si>
    <t>Санкт-Петербургский национальный исследовательский Академический университет имени Ж.И. Алфёрова</t>
  </si>
  <si>
    <t>329200.05.01</t>
  </si>
  <si>
    <t>Стандарты качества проведения экскурсий: Уч.пос./ Л.В.Баумгартен-М.:Вуз. уч.,НИЦ ИНФРА-М,2023-96с(О)</t>
  </si>
  <si>
    <t>СТАНДАРТЫ КАЧЕСТВА ПРОВЕДЕНИЯ ЭКСКУРСИЙ</t>
  </si>
  <si>
    <t>978-5-9558-0412-5</t>
  </si>
  <si>
    <t>43.03.01, 43.03.02, 49.03.03</t>
  </si>
  <si>
    <t>454950.07.01</t>
  </si>
  <si>
    <t>Стимулирование продаж: принципы, методы, оценка: Уч. пос./О.А.Шальнова - ИНФРА-М, 2023-107с.(ВО) (о)</t>
  </si>
  <si>
    <t>СТИМУЛИРОВАНИЕ ПРОДАЖ: ПРИНЦИПЫ, МЕТОДЫ, ОЦЕНКА</t>
  </si>
  <si>
    <t>Шальнова О. А.</t>
  </si>
  <si>
    <t>978-5-16-009345-1</t>
  </si>
  <si>
    <t>Допущено Учебно-методическим объединением по образованию в области коммерции и по образованию в области маркетинга в качестве учебного пособия для студентов высших учебных заведений, обучающихся по направлению 100700-62 — «Торговое дело" 1 по специал</t>
  </si>
  <si>
    <t>357800.06.01</t>
  </si>
  <si>
    <t>Стратегический маркетинг для магистров: Уч. / О.Н.Жильцова-М.:Вуз. уч., НИЦ ИНФРА-М,2023.-316 с.(П)</t>
  </si>
  <si>
    <t>СТРАТЕГИЧЕСКИЙ МАРКЕТИНГ ДЛЯ МАГИСТРОВ</t>
  </si>
  <si>
    <t>Жильцова О.Н.</t>
  </si>
  <si>
    <t>Финансовый университет при Правительстве РФ</t>
  </si>
  <si>
    <t>978-5-9558-0434-7</t>
  </si>
  <si>
    <t>38.04.01</t>
  </si>
  <si>
    <t>240400.10.01</t>
  </si>
  <si>
    <t>Стратегический маркетинг: Уч. / В.Н.Наумов - 2 изд. - М.:НИЦ ИНФРА-М,2024 - 356 с.(ВО: Магистр.)(П)</t>
  </si>
  <si>
    <t>СТРАТЕГИЧЕСКИЙ МАРКЕТИНГ, ИЗД.2</t>
  </si>
  <si>
    <t>978-5-16-015270-7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</si>
  <si>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укрупненной группе специальностей и направлений 38.00.00 «Экономика и управление» (квалификация (степень) «магистр») (протокол № 13 от 16.09.2019)</t>
  </si>
  <si>
    <t>240400.06.01</t>
  </si>
  <si>
    <t>Стратегический маркетинг: Уч. / В.Н.Наумов - М.:НИЦ ИНФРА-М,2019 - 272 с.-(ВО: Магистр.)(П)</t>
  </si>
  <si>
    <t>СТРАТЕГИЧЕСКИЙ МАРКЕТИНГ</t>
  </si>
  <si>
    <t>978-5-16-009232-4</t>
  </si>
  <si>
    <t>Рекомендовано Учебно-методическим объединением вузов России по образованию в области экономики, товароведения и торгового дела в качестве учебника для студентов высших учебных заведений, обучающихся по направлению 38.04.06 ( 100700) «Торговое дело» (</t>
  </si>
  <si>
    <t>761289.01.01</t>
  </si>
  <si>
    <t>Стратегический менеджмент в гостинично-ресторан. сервисе.: Уч.пос. / Н.Н.Крупина-М.:НИЦ ИНФРА-М,2023.-211с(П)</t>
  </si>
  <si>
    <t>СТРАТЕГИЧЕСКИЙ МЕНЕДЖМЕНТ В ГОСТИНИЧНО-РЕСТОРАННОМ СЕРВИСЕ.</t>
  </si>
  <si>
    <t>978-5-16-017232-3</t>
  </si>
  <si>
    <t>43.03.01, 43.03.03, 43.04.01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</si>
  <si>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43.03.03 «Гостиничное дело» (квалификация (степень) «бакалавр») (протокол № 8 от 19.10.2022)</t>
  </si>
  <si>
    <t>486150.03.01</t>
  </si>
  <si>
    <t>Стратегическое бизнес-планиров. на промыш. предпр.: Моногр. / Б.П.Воловиков-М.:НИЦ ИНФРА-М,2019-226с(О)</t>
  </si>
  <si>
    <t>СТРАТЕГИЧЕСКОЕ БИЗНЕС-ПЛАНИРОВАНИЕ НА ПРОМЫШЛЕННОМ ПРЕДПРИЯТИИ С ПРИМЕНЕНИЕМ ДИНАМИЧЕСКИХ МОДЕЛЕЙ И СЦЕНАРНОГО АНАЛИЗА</t>
  </si>
  <si>
    <t>Воловиков Б.П.</t>
  </si>
  <si>
    <t>978-5-16-010608-3</t>
  </si>
  <si>
    <t>38.06.01, 38.03.01, 38.03.02, 44.03.01, 41.03.06</t>
  </si>
  <si>
    <t>277300.06.01</t>
  </si>
  <si>
    <t>Стратегическое взаимодействие рыноч. субъектов..: Моногр. / В.Н.Наумов - М.: НИЦ ИНФРА-М, 2024-270с.</t>
  </si>
  <si>
    <t>СТРАТЕГИЧЕСКОЕ ВЗАИМОДЕЙСТВИЕ РЫНОЧНЫХ СУБЪЕКТОВ В МАРКЕТИНГОВЫХ СИСТЕМАХ</t>
  </si>
  <si>
    <t>978-5-16-009782-4</t>
  </si>
  <si>
    <t>129400.07.01</t>
  </si>
  <si>
    <t>Стратегия развития предприятия индустр.гостепр...: Уч.пос./С.С.Скобкин-М.:Магистр,ИНФРА-М,2017-432с</t>
  </si>
  <si>
    <t>СТРАТЕГИЯ РАЗВИТИЯ ПРЕДПРИЯТИЯ ИНДУСТРИИ ГОСТЕПРИИМСТВА И ТУРИЗМА</t>
  </si>
  <si>
    <t>Скобкин С. С.</t>
  </si>
  <si>
    <t>978-5-9776-0148-1</t>
  </si>
  <si>
    <t>43.03.01, 43.03.03, 43.04.01, 43.04.03</t>
  </si>
  <si>
    <t>679811.08.01</t>
  </si>
  <si>
    <t>Стратегия сложных переговоров: Уч.пос. / А.Г.Рыбкин - М.:НИЦ ИНФРА-М,2024-260 с.(ВО: Магистратура)(П)</t>
  </si>
  <si>
    <t>СТРАТЕГИЯ СЛОЖНЫХ ПЕРЕГОВОРОВ</t>
  </si>
  <si>
    <t>Рыбкин А.Г., Эмих О.К.</t>
  </si>
  <si>
    <t>978-5-16-014922-6</t>
  </si>
  <si>
    <t>38.04.07, 38.04.01, 38.04.06, 38.04.02, 38.04.03, 38.04.04, 38.04.05, 38.03.01, 38.03.05, 38.03.06, 38.03.07, 38.03.02, 38.03.04, 38.03.03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</si>
  <si>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38.04.02 «Менеджмент», 38.04.01 «Экономика», 38.04.04 «Государственное и муниципальное управление» (квалификация (степень) «магистр»)</t>
  </si>
  <si>
    <t>Международный институт менеджмента ЛИНК</t>
  </si>
  <si>
    <t>764144.06.01</t>
  </si>
  <si>
    <t>Страхование в условиях цифр. экономики: Моногр. / Под ред. Орланюка-Малицкой Л.А.-М.:ИНФРА-М,2024-258с.(о)</t>
  </si>
  <si>
    <t>СТРАХОВАНИЕ В УСЛОВИЯХ ЦИФРОВОЙ ЭКОНОМИКИ: НАУКА, ПРАКТИКА, ОБРАЗОВАНИЕ</t>
  </si>
  <si>
    <t>Адамчук Н.Г., Азимов Р.С., Белоусова Т.А. и др.</t>
  </si>
  <si>
    <t>978-5-16-016847-0</t>
  </si>
  <si>
    <t>795893.01.01</t>
  </si>
  <si>
    <t>Страхование: Уч.пос. / Л.В.Каячева.-М.:НИЦ ИНФРА-М,2023.-148 с.(ВО: Бакалавр. (СФУ))(о)</t>
  </si>
  <si>
    <t>СТРАХОВАНИЕ</t>
  </si>
  <si>
    <t>Каячева Л.В., Черных М.Н., Каячев Г.Ф.</t>
  </si>
  <si>
    <t>978-5-16-018084-7</t>
  </si>
  <si>
    <t>38.04.01, 38.05.01, 38.03.01, 38.03.02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</si>
  <si>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экономическим специальностям и направлениям подготовки (протокол № 7 от 21.09.2022)</t>
  </si>
  <si>
    <t>Ноябрь, 2022</t>
  </si>
  <si>
    <t>808639.01.01</t>
  </si>
  <si>
    <t>Страхование: Уч.пос. / М.В.Кучиева-М.:Магистр,2023.-100 с.(о)</t>
  </si>
  <si>
    <t>Кучиева М.В., Мардеян Н.А., Тегетаева О.Р.</t>
  </si>
  <si>
    <t>978-5-9776-0555-7</t>
  </si>
  <si>
    <t>00.03.13, 38.03.01</t>
  </si>
  <si>
    <t>Июнь, 2023</t>
  </si>
  <si>
    <t>036600.20.01</t>
  </si>
  <si>
    <t>Страхование: Уч.пос. / Ю.А.Сплетухов - 2 изд. - М.:НИЦ ИНФРА-М,2022 - 357 с.-(ВО: Бакалавриат)(п)</t>
  </si>
  <si>
    <t>СТРАХОВАНИЕ, ИЗД.2</t>
  </si>
  <si>
    <t>Сплетухов Ю.А., Дюжиков Е.Ф.</t>
  </si>
  <si>
    <t>978-5-16-003575-8</t>
  </si>
  <si>
    <t>Рекомендовано Государственным университетом управления в качестве учебного пособия для студ. вузов, обуч. по спец. 080109.65 "Бухгалтерский учет, анализ и аудит" и 080105.65 "Финансы" и 080107.65Налоги и налогообл. Р.н.р. 252 от 5 марта 2009г. МГУП</t>
  </si>
  <si>
    <t>777081.04.01</t>
  </si>
  <si>
    <t>Страхование: Уч.пос. / Ю.А.Сплетухов, - 2 изд.-М.:НИЦ ИНФРА-М,2024.-357 с.(СПО)(П)</t>
  </si>
  <si>
    <t>978-5-16-017747-2</t>
  </si>
  <si>
    <t>38.02.02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</si>
  <si>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</si>
  <si>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636919.05.01</t>
  </si>
  <si>
    <t>Страховой маркетинг: Уч. / Под ред. Синяева В.В.-М.:Вуз. уч., НИЦ ИНФРА-М,2023 - 380 с.(П)</t>
  </si>
  <si>
    <t>СТРАХОВОЙ МАРКЕТИНГ</t>
  </si>
  <si>
    <t>Жильцова О.Н., Жильцов Д.А., Земляк С.В. и др.</t>
  </si>
  <si>
    <t>978-5-9558-0537-5</t>
  </si>
  <si>
    <t>38.02.04, 38.02.01, 38.02.03, 38.04.02, 38.03.01, 38.03.02, 44.03.01, 44.03.05</t>
  </si>
  <si>
    <t>186750.04.01</t>
  </si>
  <si>
    <t>Структурная трансформация и устойчивость производственных систем: монография / Э.Н.Кузьбожев-М.:НИЦ ИНФРА-М,2018.-92 с..-(Науч.мысль)(О. КБС)</t>
  </si>
  <si>
    <t>СТРУКТУРНАЯ ТРАНСФОРМАЦИЯ И УСТОЙЧИВОСТЬ ПРОИЗВОДСТВЕННЫХ СИСТЕМ</t>
  </si>
  <si>
    <t>Кузьбожев Э. Н., Шугаева О. В.</t>
  </si>
  <si>
    <t>978-5-16-005714-9</t>
  </si>
  <si>
    <t>43.03.02, 38.04.01, 38.04.02, 43.04.02, 38.03.01, 38.03.02, 41.03.06</t>
  </si>
  <si>
    <t>477650.04.01</t>
  </si>
  <si>
    <t>Телевизионная индустрия США: Уч.пос. / А.С.Зубок - М.:Вуз.учеб., НИЦ ИНФРА-М,2023 - 256 с.(о)</t>
  </si>
  <si>
    <t>ТЕЛЕВИЗИОННАЯ ИНДУСТРИЯ США</t>
  </si>
  <si>
    <t>Зубок А.С.</t>
  </si>
  <si>
    <t>978-5-9558-0392-0</t>
  </si>
  <si>
    <t>41.03.04, 46.03.01, 42.03.02, 42.03.01, 41.03.05, 35.03.01, 42.04.01, 42.04.04, 41.04.04, 46.04.01, 42.04.02, 41.04.05, 51.04.01, 38.04.02, 38.03.02, 51.03.01, 41.03.06, 42.03.04</t>
  </si>
  <si>
    <t>НТС</t>
  </si>
  <si>
    <t>271200.08.01</t>
  </si>
  <si>
    <t>Теоретические основы товаровед..: Уч.: В 2 ч.Ч.2 /М.А.Николаева-М.:Юр.Норма,НИЦ ИНФРА-М,2022-192с(П)</t>
  </si>
  <si>
    <t>ТЕОРЕТИЧЕСКИЕ ОСНОВЫ ТОВАРОВЕДЕНИЯ И ЭКСПЕРТИЗЫ ТОВАРОВ, Т.2</t>
  </si>
  <si>
    <t>Николаева М.А.</t>
  </si>
  <si>
    <t>978-5-91768-477-2</t>
  </si>
  <si>
    <t>38.02.04, 38.02.05, 38.04.07, 38.04.01, 38.04.06, 38.06.01, 38.03.01, 38.03.06, 38.03.07</t>
  </si>
  <si>
    <t>Допущено Учебно-методическим объединением по образованию в области коммерции и по образованию в области маркетинга в качестве учебника для студентов высших учебных заведений, обучающихся по направлению 100700.62 — Торговое дело</t>
  </si>
  <si>
    <t>271100.09.01</t>
  </si>
  <si>
    <t>Теоретические основы товароведения...: Уч.: В 2 ч.Ч.1 / М.А.Николаева -М.:Юр.Норма: ИНФРА-М,2023 -368с (п)</t>
  </si>
  <si>
    <t>ТЕОРЕТИЧЕСКИЕ ОСНОВЫ ТОВАРОВЕДЕНИЯ И ЭКСПЕРТИЗЫ ТОВАРОВ, Т.1</t>
  </si>
  <si>
    <t>978-5-91768-476-5</t>
  </si>
  <si>
    <t>38.02.04, 38.02.05, 38.03.06, 38.03.07</t>
  </si>
  <si>
    <t>067000.08.01</t>
  </si>
  <si>
    <t>Теоретические основы товароведения: Уч. / М.А.Николаева - М.:Юр.Норма, НИЦ ИНФРА-М,2015.-448 с.</t>
  </si>
  <si>
    <t>ТЕОРЕТИЧЕСКИЕ ОСНОВЫ ТОВАРОВЕДЕНИЯ</t>
  </si>
  <si>
    <t>Николаева М. А.</t>
  </si>
  <si>
    <t>Переплет</t>
  </si>
  <si>
    <t>978-5-91768-426-0</t>
  </si>
  <si>
    <t>38.02.04, 38.02.05, 38.04.06, 38.03.06, 38.03.07</t>
  </si>
  <si>
    <t>Рекомендовано УМО по образованию в области товароведения и экспертизы товаров и УМО по образованию в области коммерции в качестве учебника для студентов вузов, обучающихся по специальности "Товароведение и экспертиза товаров" и "Коммерция"</t>
  </si>
  <si>
    <t>067000.11.01</t>
  </si>
  <si>
    <t>Теоретические основы товароведения: Уч. / М.А.Николаева, - 2 изд.-М.:Юр.Норма, НИЦ ИНФРА-М,2024.-424 с.(П)</t>
  </si>
  <si>
    <t>ТЕОРЕТИЧЕСКИЕ ОСНОВЫ ТОВАРОВЕДЕНИЯ, ИЗД.2</t>
  </si>
  <si>
    <t>978-5-00156-186-6</t>
  </si>
  <si>
    <t>667636.05.01</t>
  </si>
  <si>
    <t>Теория и практика креативной деят.: Уч.пос. / О.А.Карлова.- М.:НИЦ ИНФРА-М, СФУ,2024 - 372 с.-(ВО)(П)</t>
  </si>
  <si>
    <t>ТЕОРИЯ И ПРАКТИКА КРЕАТИВНОЙ ДЕЯТЕЛЬНОСТИ</t>
  </si>
  <si>
    <t>Карлова О.А., Ноздренко Е.А., Пантелеева И.А. и др.</t>
  </si>
  <si>
    <t>978-5-16-016265-2</t>
  </si>
  <si>
    <t>Рекомендовано ФГОУ ВПО «Государственный университет управления» в качестве учебного пособия для студентов высших учебных заведений, обучающихся по направлению 42.03.01 «Реклама и связи с общественностью»</t>
  </si>
  <si>
    <t>417250.08.01</t>
  </si>
  <si>
    <t>Теория и практика массовой информации: Уч./ А.А.Марков - М.: ИНФРА-М, 2024 - 252с. (ВО: Бакалавриат) (п)</t>
  </si>
  <si>
    <t>ТЕОРИЯ И ПРАКТИКА МАССОВОЙ ИНФОРМАЦИИ</t>
  </si>
  <si>
    <t>Марков А. А., Молчанова О. И., Полякова Н. В.</t>
  </si>
  <si>
    <t>978-5-16-006505-2</t>
  </si>
  <si>
    <t>42.03.01, 42.04.01, 38.04.02, 38.04.04, 38.03.02, 38.03.04, 41.03.06</t>
  </si>
  <si>
    <t>Допущено Учебно-методическим объединением вузов Российской Федерации по образованию в области международных отношений в качестве учебника для студентов вузов, обучающихся по направлению подготовки (специальности) «Реклама и связи с общественностью»</t>
  </si>
  <si>
    <t>299300.05.01</t>
  </si>
  <si>
    <t>Теория и практика рекламы: Уч. пос. / Н.В.Шишова и др.-М.:НИЦ ИНФРА-М,2023.-299 с.(О)</t>
  </si>
  <si>
    <t>ТЕОРИЯ И ПРАКТИКА РЕКЛАМЫ</t>
  </si>
  <si>
    <t>Шишова Н.В., Подопригора А.С., Акулич Т.В.</t>
  </si>
  <si>
    <t>978-5-16-004794-2</t>
  </si>
  <si>
    <t>42.03.02, 42.03.01, 42.04.01, 42.04.02, 38.03.06</t>
  </si>
  <si>
    <t>Донской государственный технический университет</t>
  </si>
  <si>
    <t>408200.07.01</t>
  </si>
  <si>
    <t>Теория развития экономич. интересов объектов..: Моногр. / А.Ю.Баранова - М.:НИЦ ИНФРА-М,2022 - 150 с.(О)</t>
  </si>
  <si>
    <t>ТЕОРИЯ РАЗВИТИЯ ЭКОНОМИЧЕСКИХ ИНТЕРЕСОВ ОБЪЕКТОВ ТУРИЗМОЛОГИИ</t>
  </si>
  <si>
    <t>978-5-16-005757-6</t>
  </si>
  <si>
    <t>43.03.02, 43.04.02, 49.03.03</t>
  </si>
  <si>
    <t>636255.04.01</t>
  </si>
  <si>
    <t>Территориальный маркетинг: теория и практика: Уч. / Т.В.Сачук - М.:НИЦ ИНФРА-М,2022 - 583 с.(ВО)(П)</t>
  </si>
  <si>
    <t>ТЕРРИТОРИАЛЬНЫЙ МАРКЕТИНГ: ТЕОРИЯ И ПРАКТИКА</t>
  </si>
  <si>
    <t>Сачук Т.В.</t>
  </si>
  <si>
    <t>978-5-16-012156-7</t>
  </si>
  <si>
    <t>41.04.04, 38.04.02, 38.04.04, 38.03.01, 38.03.02, 38.03.04, 44.03.05, 41.03.02, 41.03.06</t>
  </si>
  <si>
    <t>Рекомендовано в качестве учебника для студентов высших учебных заведений, обучающихся по направлениям подготовки 38.03.04 «Государственное и муниципальное управление», 38.03.01 «Экономика», 38.03.02 «Менеджмент» (квалификация (степень) «бакалавр»)</t>
  </si>
  <si>
    <t>131500.10.01</t>
  </si>
  <si>
    <t>Технологии производства реклам.продукции: Уч.пос. / Г.А.Васильев.-М.:Вуз. уч., ИНФРА-М Изд. Дом,2024.-272 с.(П)</t>
  </si>
  <si>
    <t>ТЕХНОЛОГИИ ПРОИЗВОДСТВА РЕКЛАМНОЙ ПРОДУКЦИИ</t>
  </si>
  <si>
    <t>Васильев Г. А., Поляков В. А., Романов А. А.</t>
  </si>
  <si>
    <t>978-5-9558-0155-1</t>
  </si>
  <si>
    <t>Допущено УМО по образованию в области коммерции в качестве учебного пособия для студентов вузов, обучающихся по специальности "Реклама"</t>
  </si>
  <si>
    <t>705531.04.01</t>
  </si>
  <si>
    <t>Технологии уборки дома и квартиры: Уч.пос. / В.Н.Шитов-М.:НИЦ ИНФРА-М,2024.-238 с..(СПО)(П)</t>
  </si>
  <si>
    <t>ТЕХНОЛОГИИ УБОРКИ ДОМА И КВАРТИРЫ</t>
  </si>
  <si>
    <t>978-5-16-015294-3</t>
  </si>
  <si>
    <t>43.02.08, 43.02.11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</si>
  <si>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</si>
  <si>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082900.07.01</t>
  </si>
  <si>
    <t>Технологические процессы в сервисе: Уч. пос. / Н.А.Крюкова. - М.: Форум, 2024. - 240 с. (ВО)(П)</t>
  </si>
  <si>
    <t>ТЕХНОЛОГИЧЕСКИЕ ПРОЦЕССЫ В СЕРВИСЕ. ОТДЕЛКА ОДЕЖДЫ ИЗ РАЗЛИЧНЫХ МАТЕРИАЛОВ</t>
  </si>
  <si>
    <t>Крюкова Н. А., Конопальцева Н. М.</t>
  </si>
  <si>
    <t>978-5-91134-137-4</t>
  </si>
  <si>
    <t>Рекомендовано Учебно-методическим объединением по образованию в области сервиса и туризма в качестве учебного пособия для студентов высших учебных заведений, обучающихся по специальности 100101 "Сервис"</t>
  </si>
  <si>
    <t>Поволжский государственный университет сервиса</t>
  </si>
  <si>
    <t>080850.07.01</t>
  </si>
  <si>
    <t>Технологические процессы в сервисе: Уч.пос. /И.Н.Каграманова -М.:ИД ФОРУМ, ИНФРА-М,2018-144с.(ВО)(О)</t>
  </si>
  <si>
    <t>ТЕХНОЛОГИЧЕСКИЕ ПРОЦЕССЫ В СЕРВИСЕ: СОВЕРШЕНСТВОВАНИЕ ТЕХНОЛОГИИ ШВЕЙНЫХ ИЗДЕЛИЙ НА ОСНОВЕ СРЕДСТВ МАЛОЙ МЕХАНИЗАЦИИ</t>
  </si>
  <si>
    <t>Каграманова И. Н.</t>
  </si>
  <si>
    <t>978-5-8199-0310-0</t>
  </si>
  <si>
    <t>Допущено Мин. обр. и науки РФ в качестве учебного пособия для студентов высших учебных заведений, обучающихся по специальности "Сервис"</t>
  </si>
  <si>
    <t>728007.01.01</t>
  </si>
  <si>
    <t>Технологическое предпринимательство: Уч.пос. / П.Л.Глухих-М.:НИЦ ИНФРА-М,2022.-316 с.(ВО: Бакалавр.)(П)</t>
  </si>
  <si>
    <t>ТЕХНОЛОГИЧЕСКОЕ ПРЕДПРИНИМАТЕЛЬСТВО</t>
  </si>
  <si>
    <t>Глухих П.Л.</t>
  </si>
  <si>
    <t>978-5-16-016141-9</t>
  </si>
  <si>
    <t>04.03.02, 04.03.01, 07.03.01, 07.03.03, 07.03.02, 07.03.04, 20.03.01, 08.03.01, 18.03.01, 11.03.01, 11.03.02, 11.03.03, 11.03.04, 12.03.03, 12.03.04, 12.03.01, 12.03.02, 12.03.05, 13.03.02, 13.03.03, 22.03.02, 13.03.01, 15.03.02, 22.03.01, 15.03.01, 15.03.03, 15.03.04, 15.03.06, 15.03.05, 18.03.02, 19.03.02, 19.03.03, 19.03.04, 19.03.01, 20.03.02, 40.04.01, 35.04.06, 27.04.03, 29.04.03, 07.04.02, 21.05.04, 23.03.01, 23.03.02, 23.03.03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</si>
  <si>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основным образовательным программам высшего образования по направлениям подготовки бакалавриата (квалификация (степень) «бакалавр») (протокол № 2 от 09.02.2022)</t>
  </si>
  <si>
    <t>704418.07.01</t>
  </si>
  <si>
    <t>Технология выполнения работы по проф. «Кассир»: Уч.пос. / Н.А.Качан - 2изд.-М.:НИЦ ИНФРА-М,2023-307c(П)</t>
  </si>
  <si>
    <t>ТЕХНОЛОГИЯ ВЫПОЛНЕНИЯ РАБОТЫ ПО ПРОФЕССИИ «КАССИР», ИЗД.2</t>
  </si>
  <si>
    <t>Качан Н.А.</t>
  </si>
  <si>
    <t>978-5-16-015098-7</t>
  </si>
  <si>
    <t>38.02.01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</si>
  <si>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</si>
  <si>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758049.04.01</t>
  </si>
  <si>
    <t>Технология и орг. предприятия туризма: Уч. / Под ред. Богданова Е.И. - М.:НИЦ ИНФРА-М,2023 - 176 с.(СПО)(П)</t>
  </si>
  <si>
    <t>ТЕХНОЛОГИЯ И ОРГАНИЗАЦИЯ ПРЕДПРИЯТИЯ ТУРИЗМА</t>
  </si>
  <si>
    <t>Орловская В.П., Богданов Е.И.</t>
  </si>
  <si>
    <t>978-5-16-016968-2</t>
  </si>
  <si>
    <t>43.02.10, 43.02.14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</si>
  <si>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</si>
  <si>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757881.02.01</t>
  </si>
  <si>
    <t>Технология и орг. ресторанного бизнеса и питания туристов: Уч. / С.А.Быстров-М.:НИЦ ИНФРА-М,2022.-536 с.(СПО)(П)</t>
  </si>
  <si>
    <t>ТЕХНОЛОГИЯ И ОРГАНИЗАЦИЯ РЕСТОРАННОГО БИЗНЕСА И ПИТАНИЯ ТУРИСТОВ</t>
  </si>
  <si>
    <t>978-5-16-016945-3</t>
  </si>
  <si>
    <t>43.03.01, 43.03.02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</si>
  <si>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</si>
  <si>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652697.08.01</t>
  </si>
  <si>
    <t>Технология и орг.ресторанного бизнеса и питания туристов: Уч. / С.А.Быстров-М.:НИЦ ИНФРА-М,2023-536с.(п)</t>
  </si>
  <si>
    <t>978-5-16-012812-2</t>
  </si>
  <si>
    <t>Рекомендовано в качестве учебника для студентов высших учебных заведений, обучающихся по направлениям подготовки 19.03.04 «Технология продукции и организация общественного питания», 43.03.03 «Гостиничное дело», 43.03.01 «Сервис» (квалификация (степень) «бакалавр»)</t>
  </si>
  <si>
    <t>300700.08.01</t>
  </si>
  <si>
    <t>Технология и организация гостиничных услуг: Уч. / Л.Н.Семеркова -М.:НИЦ ИНФРА-М,2024-320с(ВО)(П)</t>
  </si>
  <si>
    <t>ТЕХНОЛОГИЯ И ОРГАНИЗАЦИЯ ГОСТИНИЧНЫХ УСЛУГ</t>
  </si>
  <si>
    <t>Семеркова Л.Н., Белякова В.А., Шерстобитова Т.И. и др.</t>
  </si>
  <si>
    <t>978-5-16-010163-7</t>
  </si>
  <si>
    <t>43.03.01, 43.03.02, 43.04.01, 43.04.02</t>
  </si>
  <si>
    <t>Рекомендовано ФГБОУ ВПО «Российский государственный университет туризма и сервиса» в качестве учебного пособия к использованию в образовательных учреждениях ВО, реализующих образовательные программы высшего образования по направлениям 43.03.02 «Туризм», 43.03.01 «Сервис»</t>
  </si>
  <si>
    <t>Пензенский государственный университет</t>
  </si>
  <si>
    <t>420600.09.01</t>
  </si>
  <si>
    <t>Технология и организация предприятия туризма: Уч. / В.П.Орловская - НИЦ ИНФРА-М,2023 - 176 с.(ВО)(П)</t>
  </si>
  <si>
    <t>978-5-16-006293-8</t>
  </si>
  <si>
    <t>43.03.02, 38.04.01, 43.04.02, 38.03.01</t>
  </si>
  <si>
    <t>Рекомендовано Учебно-методическим объединением по образованию в области производственного менеджмента в качестве учебника для студентов высших учебных заведений, обучающихся по направлению подготовки 38.03.02 «Менеджмент» (профиль «Производственный менеджмент», по специальности 080502 «Экономика и управление на предприятии» (по отраслям))</t>
  </si>
  <si>
    <t>704132.04.01</t>
  </si>
  <si>
    <t>Технология орг. туроператор. и турагентской деят.: Уч. / С.А.Быстров-М.:НИЦ ИНФРА-М,2023-375 с.(СПО)(П)</t>
  </si>
  <si>
    <t>ТЕХНОЛОГИЯ ОРГАНИЗАЦИИ ТУРОПЕРАТОРСКОЙ И ТУРАГЕНТСКОЙ ДЕЯТЕЛЬНОСТИ</t>
  </si>
  <si>
    <t>978-5-16-014917-2</t>
  </si>
  <si>
    <t>677810.06.01</t>
  </si>
  <si>
    <t>Технология организации туроператорской и турагент.деят.: Уч. / С.А.Быстров-М.:НИЦ ИНФРА-М,2022-375с(ВО)</t>
  </si>
  <si>
    <t>978-5-16-014026-1</t>
  </si>
  <si>
    <t>Рекомендовано в качестве учебника для студентов высших учебных заведений, обучающихся по направлениям подготовки 43.03.02 «Туризм», 43.03.03 «Гостиничное дело», 43.03.01 «Сервис» (квалификация (степень) «бакалавр»)</t>
  </si>
  <si>
    <t>156200.09.01</t>
  </si>
  <si>
    <t>Технология отходов: Уч. / Л.Я. Шубов - М.: Альфа-М:  ИНФРА-М, 2024-352 с.(Технолог.сервис) (п)</t>
  </si>
  <si>
    <t>ТЕХНОЛОГИЯ ОТХОДОВ</t>
  </si>
  <si>
    <t>Шубов Л. Я., Ставровский М. Е., Олейник А. В.</t>
  </si>
  <si>
    <t>Технологический сервис</t>
  </si>
  <si>
    <t>978-5-98281-257-5</t>
  </si>
  <si>
    <t>05.03.06, 20.03.01, 05.04.06, 20.04.01</t>
  </si>
  <si>
    <t>Рекомендовано Дальневосточным региональным учебно-методическим центром (ДВ РУМЦ) в качестве учебника для студентов, обучающихся по направлению подготовки 100100 "Сервис"</t>
  </si>
  <si>
    <t>719463.01.01</t>
  </si>
  <si>
    <t>Технология формир. и продвиж.  гостиничного продукта: Уч.пос. / И.С.Ключевская-М.:НИЦ ИНФРА-М,2022.-346 с.(ВО)(П)</t>
  </si>
  <si>
    <t>ТЕХНОЛОГИЯ ФОРМИРОВАНИЯ И ПРОДВИЖЕНИЯ  ГОСТИНИЧНОГО ПРОДУКТА</t>
  </si>
  <si>
    <t>978-5-16-016737-4</t>
  </si>
  <si>
    <t>43.03.02, 43.03.03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</si>
  <si>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43.03.02 «Туризм», 43.03.03 «Гостиничное дело» (квалификация (степень) «бакалавр») (протокол № 6 от 16.06.2021)</t>
  </si>
  <si>
    <t>770565.01.01</t>
  </si>
  <si>
    <t>Технология формир. и продвиж.  гостиничного продукта: Уч.пос. / И.С.Ключевская-М.:НИЦ ИНФРА-М,2022.-346 с.(П)</t>
  </si>
  <si>
    <t>978-5-16-017391-7</t>
  </si>
  <si>
    <t>43.02.10, 43.02.11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</si>
  <si>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</si>
  <si>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385100.04.01</t>
  </si>
  <si>
    <t>Товарная информация: Уч. / М.А.Николаева - М.:Юр.Норма, НИЦ ИНФРА-М,2024. - 256 с.(О)</t>
  </si>
  <si>
    <t>ТОВАРНАЯ ИНФОРМАЦИЯ</t>
  </si>
  <si>
    <t>М.А.Николаева, Л.В.Карташова</t>
  </si>
  <si>
    <t>978-5-91768-650-9</t>
  </si>
  <si>
    <t>Допущено Учебно-методическим объединением по образованию в области коммерции и по образованию в области маркетинга в качестве учебника для студентов вузов, обучающихся по направлению 100700.62 "Торговое дело»</t>
  </si>
  <si>
    <t>302300.05.01</t>
  </si>
  <si>
    <t>Товарная политика текстильного предприятия: Уч./ Н.С. Иващенко-М.:НИЦ ИНФРА-М, МГУДТ,2024.-287с.(п)</t>
  </si>
  <si>
    <t>ТОВАРНАЯ ПОЛИТИКА ТЕКСТИЛЬНОГО ПРЕДПРИЯТИЯ</t>
  </si>
  <si>
    <t>Н.С.Иващенко</t>
  </si>
  <si>
    <t>978-5-16-010196-5</t>
  </si>
  <si>
    <t>29.03.02, 38.03.01</t>
  </si>
  <si>
    <t>Российский государственный университет им. А.Н. Косыгина</t>
  </si>
  <si>
    <t>357100.09.01</t>
  </si>
  <si>
    <t>Товарная политика: Уч. для бакалавриата / М.А.Николаева - М.:Юр.Норма,НИЦ ИНФРА-М,2024-256с.(О)</t>
  </si>
  <si>
    <t>ТОВАРНАЯ ПОЛИТИКА</t>
  </si>
  <si>
    <t>М.А.Николаева</t>
  </si>
  <si>
    <t>978-5-91768-615-8</t>
  </si>
  <si>
    <t>38.04.07, 38.04.01, 38.04.06, 38.03.01, 38.03.06, 38.03.07</t>
  </si>
  <si>
    <t>453400.05.01</t>
  </si>
  <si>
    <t>Товарный менедж. и эксперт. прод. дет. питания: Уч.пос. / О.А.Рязанова-М.:Юр.Норма, НИЦ ИНФРА-М,2022.-224 с.(О)</t>
  </si>
  <si>
    <t>ТОВАРНЫЙ МЕНЕДЖМЕНТ И ЭКСПЕРТИЗА ПРОДУКТОВ ДЕТСКОГО ПИТАНИЯ</t>
  </si>
  <si>
    <t>Рязанова О.А., Николаева М.А.</t>
  </si>
  <si>
    <t>978-5-91768-674-5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</si>
  <si>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</si>
  <si>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</si>
  <si>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</si>
  <si>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</si>
  <si>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</si>
  <si>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</si>
  <si>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Российский биотехнологический университет (РОСБИОТЕХ)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</si>
  <si>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</si>
  <si>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</si>
  <si>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</si>
  <si>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</si>
  <si>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</si>
  <si>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</si>
  <si>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Кузбасская государственная сельскохозяйственная академия</t>
  </si>
  <si>
    <t>140200.08.01</t>
  </si>
  <si>
    <t>Товароведение и эксперт. зерномучных товаров: Уч./Л.П.Нилова - 2 изд. - ИНФРА-М, 2024-448с.(ВО) (п)</t>
  </si>
  <si>
    <t>ТОВАРОВЕДЕНИЕ И ЭКСПЕРТИЗА ЗЕРНОМУЧНЫХ ТОВАРОВ, ИЗД.2</t>
  </si>
  <si>
    <t>Нилова Л. П.</t>
  </si>
  <si>
    <t>978-5-16-004440-8</t>
  </si>
  <si>
    <t>38.02.04, 38.02.05, 19.03.04, 38.04.07, 38.03.07</t>
  </si>
  <si>
    <t>Рекомендовано ГОУ ВПО "Московский государственный университет пищевых продуктов" в качестве учебника для студентов высших учебных заведений, обучающихся по специальности 080401 "Товароведение и экспертиза зерномучных товаров"</t>
  </si>
  <si>
    <t>Российская таможенная академия</t>
  </si>
  <si>
    <t>180300.09.01</t>
  </si>
  <si>
    <t>Товароведение и экспертиза вкусовых товаров: Уч. / А.А.Вытовтов - М.: НИЦ Инфра-М, 2022-576с.(ВО) (п)</t>
  </si>
  <si>
    <t>Вытовтов А. А.</t>
  </si>
  <si>
    <t>978-5-16-004633-4</t>
  </si>
  <si>
    <t>19.03.04, 38.04.07, 38.03.07</t>
  </si>
  <si>
    <t>Рекомендовано ФГБОУ ВПО "Московский гос. унив. пищевой промышл." в кач. учеб. для студ. вузов, обуч. по спец. 080401 "Товароведение и эксперитза товров", бакалавров и магистров по напр. подготовки 100800 "Товароведение", 100700 "Торговое дело" профил</t>
  </si>
  <si>
    <t>Санкт-Петербургский технический колледж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</si>
  <si>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</si>
  <si>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</si>
  <si>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</si>
  <si>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</si>
  <si>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</si>
  <si>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469550.04.01</t>
  </si>
  <si>
    <t>Товароведение и экспертиза вкусовых товаров:Уч.пос./Т.Н.Иванова-М.:НИЦ ИНФРА-М,2023-240-(ВО:Бак.)(П)</t>
  </si>
  <si>
    <t>Т.Н.Иванова</t>
  </si>
  <si>
    <t>978-5-16-009974-3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</si>
  <si>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</si>
  <si>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</si>
  <si>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</si>
  <si>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</si>
  <si>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</si>
  <si>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38.02.05, 19.02.07, 19.02.08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</si>
  <si>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</si>
  <si>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409800.05.01</t>
  </si>
  <si>
    <t>Товароведение и экспертиза доп. видов сырья живот...: Уч. пос./М.В.Горбачева-ИНФРА-М, 2023-136с.(ВО) (о)</t>
  </si>
  <si>
    <t>Горбачева М. В., Щербакова А. В.</t>
  </si>
  <si>
    <t>978-5-16-006173-3</t>
  </si>
  <si>
    <t>19.03.04, 38.03.07</t>
  </si>
  <si>
    <t>Рекомендовано Учебно-методическим объединением по образованию в области товароведения и экспертизы товаров в качестве учебного пособия для студентов высших учебных заведений, обучающихся по специальности 080401 — «Товароведение и экспертиза товаров (</t>
  </si>
  <si>
    <t>720427.02.01</t>
  </si>
  <si>
    <t>Товароведение и экспертиза зерномучных товаров: Уч. / Л.П.Нилова - 2 изд. - М.:НИЦ ИНФРА-М,2022 - 448 с(П)(СПО)</t>
  </si>
  <si>
    <t>Нилова Л.П.</t>
  </si>
  <si>
    <t>978-5-16-015701-6</t>
  </si>
  <si>
    <t>43.01.09, 43.02.01, 38.02.04, 38.02.05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</si>
  <si>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</si>
  <si>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141700.07.01</t>
  </si>
  <si>
    <t>Товароведение и экспертиза мясных товаров...: Уч. пос. / Ю.В.Данильчук - 2 изд. - М.: НИЦ ИНФРА-М,2022-176с</t>
  </si>
  <si>
    <t>978-5-16-013513-7</t>
  </si>
  <si>
    <t>Рекомендовано в качестве учебного пособия для студентов высших образовательных учреждений, обучающихся по направлению подготовки 38.03.07 «Товароведение» (квалификация (степень) «бакалавр»)</t>
  </si>
  <si>
    <t>141700.04.98</t>
  </si>
  <si>
    <t>Товароведение и экспертиза мясных товаров...: Уч. пос./Ю.В.Данильчук - М.: НИЦ ИНФРА-М,2017-174с.(О)</t>
  </si>
  <si>
    <t>ТОВАРОВЕДЕНИЕ И ЭКСПЕРТИЗА МЯСНЫХ ТОВАРОВ. ЛАБОРАТОРНЫЙ ПРАКТИКУМ</t>
  </si>
  <si>
    <t>978-5-16-010563-5</t>
  </si>
  <si>
    <t>Рекомендовано Учебнб-методическим объединением по образованию в области товароведения и экспертизы товаров з качестве учебного пособия для студентов высших учебных заведений, обучающихся по специальности 080401 «Товароведение и экспертиза товаров (по</t>
  </si>
  <si>
    <t>216600.08.01</t>
  </si>
  <si>
    <t>Товароведение и экспертиза пищевых концентратов и...:Уч. / Т.Н.Иванова-2 изд-М.:НИЦ ИНФРА-М,2024.-265 с.(п)</t>
  </si>
  <si>
    <t>ТОВАРОВЕДЕНИЕ И ЭКСПЕРТИЗА ПИЩЕВЫХ КОНЦЕНТРАТОВ И ПИЩЕВЫХ ДОБАВОК, ИЗД.2</t>
  </si>
  <si>
    <t>Иванова Т. Н., Позняковский В. М., Добровольский В. Ф.</t>
  </si>
  <si>
    <t>978-5-16-006916-6</t>
  </si>
  <si>
    <t>Рекомендовано Учебно-методическим объединением по образованию в области товароведения и экспертизы товаров в качестве учебника для подготовки бакалавров и магистров по направлению 100800.62 «Товароведение»</t>
  </si>
  <si>
    <t>720421.01.01</t>
  </si>
  <si>
    <t>Товароведение и экспертиза пищевых концентратов...: Уч. / Т.Н.Иванова - 2 изд.-М.:НИЦ ИНФРА-М,2020.-265с(П)</t>
  </si>
  <si>
    <t>Иванова Т.Н., Позняковский В.М., Добровольский В.Ф.</t>
  </si>
  <si>
    <t>978-5-16-015700-9</t>
  </si>
  <si>
    <t>067440.12.01</t>
  </si>
  <si>
    <t>Товароведение и экспертиза товаров: Уч.пос. / Е.А.Замедлина - М.:ИЦ РИОР, НИЦ ИНФРА-М,2023 - 156 с.(О)</t>
  </si>
  <si>
    <t>ТОВАРОВЕДЕНИЕ И ЭКСПЕРТИЗА ТОВАРОВ</t>
  </si>
  <si>
    <t>Замедлина Е.А.</t>
  </si>
  <si>
    <t>978-5-9557-0269-8</t>
  </si>
  <si>
    <t>370600.04.01</t>
  </si>
  <si>
    <t>Товароведение однород.групп непродовол.товаров...: Уч.пос. / Е.А.Тыщенко-М.:НИЦ ИНФРА-М,2023-394с.(П)</t>
  </si>
  <si>
    <t>ТОВАРОВЕДЕНИЕ ОДНОРОДНЫХ ГРУПП НЕПРОДОВОЛЬСТВЕННЫХ ТОВАРОВ: ПАРФЮМЕРНО-КОСМЕТИЧЕСКИЕ ТОВАРЫ</t>
  </si>
  <si>
    <t>Тыщенко Е.А., Ердакова В.П., Позняковский В.М.</t>
  </si>
  <si>
    <t>978-5-16-011028-8</t>
  </si>
  <si>
    <t>38.03.07, 43.02.12</t>
  </si>
  <si>
    <t>Рекомендовано в качестве учебного пособия для студентов высших учебных заведений, обучающихся по направлению подготовки 38.03.07 «Товароведение» (квалификация (степень) «бакалавр»)</t>
  </si>
  <si>
    <t>081500.07.01</t>
  </si>
  <si>
    <t>Товароведение прод. товаров: Уч. пос. / Н.В.Коник - Альфа-М:ИНФРА-М,2023 - 416 с. (ПРОФИль) (п)</t>
  </si>
  <si>
    <t>ТОВАРОВЕДЕНИЕ ПРОДОВОЛЬСТВЕННЫХ ТОВАРОВ</t>
  </si>
  <si>
    <t>Коник Н. В.</t>
  </si>
  <si>
    <t>978-5-98281-108-0</t>
  </si>
  <si>
    <t>Допущено Мин. обр. и науки РФ в качестве учебного пособия для студентов учреждений среднего профессионального образования, обучающихся по специальностям  "Товароведение" и "Коммерция"</t>
  </si>
  <si>
    <t>142500.07.01</t>
  </si>
  <si>
    <t>Товароведение строительных товаров: Уч. пос. / Ф.А.Петрище - М.: ИД ФОРУМ, 2024-208с.(ВО) (п)</t>
  </si>
  <si>
    <t>ТОВАРОВЕДЕНИЕ СТРОИТЕЛЬНЫХ ТОВАРОВ</t>
  </si>
  <si>
    <t>Петрище Ф. А., Черная М. А.</t>
  </si>
  <si>
    <t>978-5-8199-0464-0</t>
  </si>
  <si>
    <t>38.02.04, 38.02.05, 38.04.07, 38.04.06, 38.03.06, 38.03.07</t>
  </si>
  <si>
    <t>Допущено Учебно-методическим объединением по образованию в области коммерции в качестве учебного пособия для студентов высших учебных заведений, обучающихся по направлению 100700 - Торговое дело, профилям подготовки "Коммерция" и "Товароведение и эк"</t>
  </si>
  <si>
    <t>241800.04.01</t>
  </si>
  <si>
    <t>Товароведение, технология и экспертиза пищевых продуктов животного происхождения:Уч.пос. / Г.В.Чебакова-М.:НИЦ ИНФРА-М,2020-304с(ВО)(П)</t>
  </si>
  <si>
    <t>ТОВАРОВЕДЕНИЕ, ТЕХНОЛОГИЯ И ЭКСПЕРТИЗА ПИЩЕВЫХ ПРОДУКТОВ ЖИВОТНОГО ПРОИСХОЖДЕНИЯ</t>
  </si>
  <si>
    <t>Чебакова Г. В., Данилова И. А.</t>
  </si>
  <si>
    <t>978-5-16-006081-1</t>
  </si>
  <si>
    <t>455850.07.01</t>
  </si>
  <si>
    <t>Товароведение: Уч.пос. / Е.С.Григорян - М.:НИЦ ИНФРА-М,2023 - 265 с.-(ВО: Бакалавриат)(П)</t>
  </si>
  <si>
    <t>ТОВАРОВЕДЕНИЕ</t>
  </si>
  <si>
    <t>Григорян Е. С.</t>
  </si>
  <si>
    <t>978-5-16-005764-4</t>
  </si>
  <si>
    <t>Рекомендовано Учебно-методическим объединением по образованию в области товароведения в качестве учебного пособия для студентов высших учебных заведений, обучающихся по направлению 100800 «Товароведение» (квалификация (степень) — «бакалавр»)</t>
  </si>
  <si>
    <t>683131.06.01</t>
  </si>
  <si>
    <t>Товароведение: Уч.пос. / Е.С.Григорян - М.:НИЦ ИНФРА-М,2024 - 265 с.(СПО)(П)</t>
  </si>
  <si>
    <t>978-5-16-014008-7</t>
  </si>
  <si>
    <t>43.02.01, 38.02.04, 38.02.05, 38.04.07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</si>
  <si>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</si>
  <si>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173550.08.01</t>
  </si>
  <si>
    <t>Торговое дело. Экономика и управ. розничными торг. сетями: Уч. / В.П.Чеглов-М.:НИЦ ИНФРА-М,2024.-309 с.(ВО(П)</t>
  </si>
  <si>
    <t>ТОРГОВОЕ ДЕЛО. ЭКОНОМИКА И УПРАВЛЕНИЕ РОЗНИЧНЫМИ ТОРГОВЫМИ СЕТЯМИ</t>
  </si>
  <si>
    <t>978-5-16-015782-5</t>
  </si>
  <si>
    <t>38.04.07, 38.04.06, 38.04.02, 38.03.06, 38.03.02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</si>
  <si>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38.04.06 «Торговое дело», 38.04.07 «Товароведение» (квалификация (степень) «магистр») (протокол № 8 от 22.06.2020)</t>
  </si>
  <si>
    <t>071850.17.01</t>
  </si>
  <si>
    <t>Торговое оборудование: Уч.пос. / В.Ф.Кащенко-М.:Альфа-М, НИЦ ИНФРА-М,2024.-398 с.(ПРОФИль)(п)</t>
  </si>
  <si>
    <t>ТОРГОВОЕ ОБОРУДОВАНИЕ</t>
  </si>
  <si>
    <t>Кащенко В. Ф., Кащенко Л. В.</t>
  </si>
  <si>
    <t>978-5-98281-070-0</t>
  </si>
  <si>
    <t>38.02.04, 38.02.05, 38.02.01, 38.02.03</t>
  </si>
  <si>
    <t>Допущено Мин. обр. и науки РФ в качестве учебного пособия для студентов учреждений среднего профессионального образования, обучающихся по торговым и экономическим специальностям</t>
  </si>
  <si>
    <t>477350.06.01</t>
  </si>
  <si>
    <t>Трансформация бизнеса в усл. рыночной нестабил.: Моногр./Н.К.Моисеева - М:КУРС:ИНФРА-М,2024.-408с.(п)</t>
  </si>
  <si>
    <t>ТРАНСФОРМАЦИЯ БИЗНЕСА В УСЛОВИЯХ РЫНОЧНОЙ НЕСТАБИЛЬНОСТИ</t>
  </si>
  <si>
    <t>Моисеева Н. К., Гончарова Т. Н., Марина О. А., Седова О. В., Моисеева Н. К.</t>
  </si>
  <si>
    <t>Наука</t>
  </si>
  <si>
    <t>978-5-905554-78-0</t>
  </si>
  <si>
    <t>38.04.01, 38.04.08, 38.04.02, 38.04.04</t>
  </si>
  <si>
    <t>774899.01.01</t>
  </si>
  <si>
    <t>Трансформация внутренней торговли Рос. в совр. условиях: Моногр. / Р.Р.Салихова-М.:НИЦ ИНФРА-М,2022.-151 с.(О)</t>
  </si>
  <si>
    <t>ТРАНСФОРМАЦИЯ ВНУТРЕННЕЙ ТОРГОВЛИ РОССИИ В СОВРЕМЕННЫХ УСЛОВИЯХ</t>
  </si>
  <si>
    <t>Салихова Р.Р., Иванов Г.Г.</t>
  </si>
  <si>
    <t>978-5-16-017610-9</t>
  </si>
  <si>
    <t>38.04.07, 38.04.01, 38.04.06, 38.04.02, 38.06.01</t>
  </si>
  <si>
    <t>Казанский государственный энергетический университет</t>
  </si>
  <si>
    <t>712071.02.01</t>
  </si>
  <si>
    <t>Туризм для лиц пожилого возраста: Моногр. / И.В.Грошев - М.:НИЦ ИНФРА-М,2021-303 с.-(Науч.мысль)(П)</t>
  </si>
  <si>
    <t>ТУРИЗМ ДЛЯ ЛИЦ ПОЖИЛОГО ВОЗРАСТА</t>
  </si>
  <si>
    <t>Грошев И.В., Корчагин Е.П.</t>
  </si>
  <si>
    <t>978-5-16-015363-6</t>
  </si>
  <si>
    <t>43.04.01, 43.04.02, 43.04.03</t>
  </si>
  <si>
    <t>654593.05.01</t>
  </si>
  <si>
    <t>Туризм: Словарь / Под ред. Морозова М.А.- М.:НИЦ ИНФРА-М,2024 - 300 с.(Б-ка сл. ИНФРА-М)(П)</t>
  </si>
  <si>
    <t>ТУРИЗМ</t>
  </si>
  <si>
    <t>Морозов М.А., Морозова Н.С., Фролов А.И. и др.</t>
  </si>
  <si>
    <t>978-5-16-014476-4</t>
  </si>
  <si>
    <t>43.00.00, 43.03.02, 43.04.01, 43.04.02, 43.04.03, 49.03.03</t>
  </si>
  <si>
    <t>103650.11.01</t>
  </si>
  <si>
    <t>Туристический комплекс России...: Моногр. / А.О.Овчаров - М.:НИЦ ИНФРА-М,2022 - 280 с.(О)</t>
  </si>
  <si>
    <t>ТУРИСТИЧЕСКИЙ КОМПЛЕКС РОССИИ: ТЕНДЕНЦИИ, РИСКИ, ПЕРСПЕКТИВЫ</t>
  </si>
  <si>
    <t>Овчаров А. О.</t>
  </si>
  <si>
    <t>978-5-16-005283-0</t>
  </si>
  <si>
    <t>43.03.02, 43.03.03, 43.04.02, 43.04.03, 43.02.14</t>
  </si>
  <si>
    <t>631790.05.01</t>
  </si>
  <si>
    <t>Туристские ресурсы России: Практикум / Н.Г.Можаева -М.:Форум,НИЦ ИНФРА-М,2023-112с.(ВО:Бакалавр.)(О)</t>
  </si>
  <si>
    <t>ТУРИСТСКИЕ РЕСУРСЫ РОССИИ</t>
  </si>
  <si>
    <t>Можаева Н.Г.</t>
  </si>
  <si>
    <t>978-5-00091-408-3</t>
  </si>
  <si>
    <t>683134.04.01</t>
  </si>
  <si>
    <t>Туристские ресурсы России: Практикум / Н.Г.Можаева-М.:Форум, НИЦ ИНФРА-М,2023.-112 с.(СПО)(О)</t>
  </si>
  <si>
    <t>978-5-00091-560-8</t>
  </si>
  <si>
    <t>432750.09.01</t>
  </si>
  <si>
    <t>Туристские формальности: Уч. пос./И.В.Борисенко - М.: Форум:  НИЦ ИНФРА-М, 2023-384с.(ВО: Бакалавр.) (п)</t>
  </si>
  <si>
    <t>ТУРИСТСКИЕ ФОРМАЛЬНОСТИ</t>
  </si>
  <si>
    <t>Борисенко И. В., Григорьева Г. Б., Гусев Н. И., Ершова С. И., Шевцова Т. В.</t>
  </si>
  <si>
    <t>978-5-91134-772-7</t>
  </si>
  <si>
    <t>Рекомендовано УМОучебных заведений Российской Федерации по образованию в области сервиса и туризма для студентов высших учебных заведений, обучающихся по направлениям подготовки 100200.62 "Туризм", 100200.68 "Туризм", 100400.62 "Туризм", 100400.68 "Г</t>
  </si>
  <si>
    <t>757838.05.01</t>
  </si>
  <si>
    <t>Туристское страноведение: Уч.пос. / П.В.Большаник - М.:НИЦ ИНФРА-М,2024 - 241 с.(СПО)(П)</t>
  </si>
  <si>
    <t>ТУРИСТСКОЕ СТРАНОВЕДЕНИЕ</t>
  </si>
  <si>
    <t>978-5-16-016923-1</t>
  </si>
  <si>
    <t>43.02.06, 43.02.10, 43.02.11, 43.02.14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</si>
  <si>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</si>
  <si>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633280.06.01</t>
  </si>
  <si>
    <t>Туристское страноведение: Уч.пос. / П.В.Большаник-М.:НИЦ ИНФРА-М,2021.-241 с..-(ВО: Бакалавриат)(П)</t>
  </si>
  <si>
    <t>978-5-16-012057-7</t>
  </si>
  <si>
    <t>273900.11.01</t>
  </si>
  <si>
    <t>Туристско-рекреационное проектирование: Уч.пос. / Ю.А.Колесова-М.:КУРС, НИЦ ИНФРА-М,2024.-352 с.(о)</t>
  </si>
  <si>
    <t>ТУРИСТСКО-РЕКРЕАЦИОННОЕ ПРОЕКТИРОВАНИЕ</t>
  </si>
  <si>
    <t>Колесова Ю.А.</t>
  </si>
  <si>
    <t>978-5-906818-65-2</t>
  </si>
  <si>
    <t>683390.02.01</t>
  </si>
  <si>
    <t>Убеждающее воздейст. в сфере дел. общения: Моногр. / Л.Г.Павлова, - 2 изд.-М.:ИЦ РИОР, НИЦ ИНФРА-М,2020-144с(О)</t>
  </si>
  <si>
    <t>УБЕЖДАЮЩЕЕ ВОЗДЕЙСТВИЕ В СФЕРЕ ДЕЛОВОГО ОБЩЕНИЯ, ИЗД.2</t>
  </si>
  <si>
    <t>978-5-369-01779-1</t>
  </si>
  <si>
    <t>40.03.01, 40.04.01, 38.04.01, 38.04.06, 38.04.02, 38.04.03, 38.04.04, 38.03.01, 38.03.02, 38.03.04, 38.03.03, 41.03.06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</si>
  <si>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</si>
  <si>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683390.05.01</t>
  </si>
  <si>
    <t>Убеждающее воздейст. в сфере дел. общения: Моногр. / Л.Г.Павлова, - 3 изд.-М.:ИЦ РИОР, НИЦ ИНФРА-М,2024-162с(О)</t>
  </si>
  <si>
    <t>УБЕЖДАЮЩЕЕ ВОЗДЕЙСТВИЕ В СФЕРЕ ДЕЛОВОГО ОБЩЕНИЯ, ИЗД.3</t>
  </si>
  <si>
    <t>978-5-369-01907-8</t>
  </si>
  <si>
    <t>0323</t>
  </si>
  <si>
    <t>172850.06.01</t>
  </si>
  <si>
    <t>Управление инвестиц. привлекат. в туристско-рекреац. сфере: Моногр./ Т.П.Левченко.-М.:НИЦ ИНФРА-М,2022.-162 с.(О)</t>
  </si>
  <si>
    <t>УПРАВЛЕНИЕ ИНВЕСТИЦИОННОЙ ПРИВЛЕКАТЕЛЬНОСТЬЮ В ТУРИСТСКО-РЕКРЕАЦИОННОЙ СФЕРЕ</t>
  </si>
  <si>
    <t>Левченко Т. П., Янюшкин В. А., Рябцев А. А.</t>
  </si>
  <si>
    <t>978-5-16-005657-9</t>
  </si>
  <si>
    <t>43.03.02, 43.04.02, 38.03.01</t>
  </si>
  <si>
    <t>320100.05.01</t>
  </si>
  <si>
    <t>Управление маркетингом: Уч. / Ю.Н.Егоров - М.:НИЦ ИНФРА-М,2022 - 238 с.-(ВО: Бакалавриат)(П)</t>
  </si>
  <si>
    <t>УПРАВЛЕНИЕ МАРКЕТИНГОМ</t>
  </si>
  <si>
    <t>978-5-16-010430-0</t>
  </si>
  <si>
    <t>38.02.04, 38.02.01, 38.02.03, 42.03.01, 42.04.01, 38.04.06, 38.04.02, 38.03.06, 38.03.02, 44.03.01, 44.03.05</t>
  </si>
  <si>
    <t>Рекомендовано Советом Учебно-методического объединения вузов по образованию в области менеджмента в качестве учебника для студентов высших учебных заведений, обучающихся по направлению 38.03.01 «Менеджмент»</t>
  </si>
  <si>
    <t>118850.06.01</t>
  </si>
  <si>
    <t>Управление маркетингом: Уч. пос. / Н.И. Ивашкова. - М.: Форум:  ИНФРА-М, 2024. - 176 с. (о)</t>
  </si>
  <si>
    <t>Ивашкова Н.И.</t>
  </si>
  <si>
    <t>978-5-91134-388-0</t>
  </si>
  <si>
    <t>438150.07.01</t>
  </si>
  <si>
    <t>Управление персоналом в гостиницах: Уч.пос. / Н.А.Зайцева-М.:Форум, НИЦ ИНФРА-М,2023.-416 с.(ВО)(п)</t>
  </si>
  <si>
    <t>УПРАВЛЕНИЕ ПЕРСОНАЛОМ В ГОСТИНИЦАХ</t>
  </si>
  <si>
    <t>978-5-91134-747-5</t>
  </si>
  <si>
    <t>43.03.03, 38.04.03, 43.04.03, 38.03.01, 38.03.03, 41.03.06, 43.02.14</t>
  </si>
  <si>
    <t>Рекомендовано УМО учебных заведений Российской Федерации по образованию в области сервиса и туризма в качестве учебного пособия для студентов высших учебных заведений, обучающихся по направлениям подготовки 100400 «Туризм» и 101100 «Гостиничное дело»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</si>
  <si>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</si>
  <si>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</si>
  <si>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</si>
  <si>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</si>
  <si>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</si>
  <si>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719461.02.01</t>
  </si>
  <si>
    <t>Управление персоналом гостинич. предпр.: Уч.пос. / И.С.Ключевская-М.:НИЦ ИНФРА-М,2023.-386 с.(ВО)(П)</t>
  </si>
  <si>
    <t>978-5-16-016010-8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</si>
  <si>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43.03.03 «Гостиничное дело» и 43.03.02 «Туризм» (квалификация (степень) «бакалавр») (протокол №12 от 14.12.2020)</t>
  </si>
  <si>
    <t>420800.08.01</t>
  </si>
  <si>
    <t>Управление персоналом на предприятии туризма: Уч. / Т.В. Бедяева - М.: НИЦ ИНФРА-М, 2024-180с.(ВО) (п)</t>
  </si>
  <si>
    <t>УПРАВЛЕНИЕ ПЕРСОНАЛОМ НА ПРЕДПРИЯТИИ ТУРИЗМА</t>
  </si>
  <si>
    <t>Бедяева Т. В., Захаров А. С., Богданов Е. И.</t>
  </si>
  <si>
    <t>978-5-16-006295-2</t>
  </si>
  <si>
    <t>43.03.02, 38.04.03, 43.04.02, 38.03.01, 38.03.03</t>
  </si>
  <si>
    <t>179400.09.01</t>
  </si>
  <si>
    <t>Управление развитием туристского комплекса муниц. обр.: Уч. пос. / А.Э.Саак-М:КУРС,НИЦ ИНФРА-М,2022-304с.(П)</t>
  </si>
  <si>
    <t>УПРАВЛЕНИЕ РАЗВИТИЕМ ТУРИСТСКОГО КОМПЛЕКСА МУНИЦИПАЛЬНОГО ОБРАЗОВАНИЯ</t>
  </si>
  <si>
    <t>Саак А. Э., Жертовская Е. В.</t>
  </si>
  <si>
    <t>978-5-905554-12-4</t>
  </si>
  <si>
    <t>43.03.02, 38.04.02, 38.04.04, 43.04.02, 38.03.02, 38.03.04, 44.03.05, 49.03.03</t>
  </si>
  <si>
    <t>Допущено Советом Учебно-методического объединения вузов России по образованию в области менеджмента в качестве учебного пособия по специальности "Государственное и муниципальное управление"</t>
  </si>
  <si>
    <t>421350.07.01</t>
  </si>
  <si>
    <t>Управление рисками и страхование в туризме / Т.А.Федорова - М.:Магистр, НИЦ ИНФРА-М,2024.-192 с.(О)</t>
  </si>
  <si>
    <t>УПРАВЛЕНИЕ РИСКАМИ И СТРАХОВАНИЕ В ТУРИЗМЕ</t>
  </si>
  <si>
    <t>Федорова Т. А.</t>
  </si>
  <si>
    <t>978-5-9776-0269-3</t>
  </si>
  <si>
    <t>43.03.02, 38.04.01, 38.04.08, 43.04.02, 38.03.01, 38.03.02, 49.03.03</t>
  </si>
  <si>
    <t>059000.09.01</t>
  </si>
  <si>
    <t>Управление розничным маркетингом: Уч. / Под ред. Гилберт Д., - 2 изд., англ.-М.:ИНФРА-М,2022.-571 с.(П)</t>
  </si>
  <si>
    <t>УПРАВЛЕНИЕ РОЗНИЧНЫМ МАРКЕТИНГОМ, ИЗД.2</t>
  </si>
  <si>
    <t>Гилберт Д.</t>
  </si>
  <si>
    <t>5-16-002332-1</t>
  </si>
  <si>
    <t>0205</t>
  </si>
  <si>
    <t>186550.08.01</t>
  </si>
  <si>
    <t>Управление рынком детск.оздоров.туризма: Моногр./А.М.Ветитнев-М.:НИЦ ИНФРА-М,2023-138(Науч.мысль)(о)</t>
  </si>
  <si>
    <t>УПРАВЛЕНИЕ РЫНКОМ ДЕТСКОГО ОЗДОРОВИТЕЛЬНОГО ТУРИЗМА</t>
  </si>
  <si>
    <t>Ветитнев А. М., Оргина Е. В.</t>
  </si>
  <si>
    <t>978-5-16-005658-6</t>
  </si>
  <si>
    <t>43.03.02, 43.04.02</t>
  </si>
  <si>
    <t>429900.06.01</t>
  </si>
  <si>
    <t>Управление торговой организацией: Уч. / Г.Г. Иванов - М.: ИД ФОРУМ:  НИЦ Инфра-М, 2023-368с.(ВО) (п)</t>
  </si>
  <si>
    <t>УПРАВЛЕНИЕ ТОРГОВОЙ ОРГАНИЗАЦИЕЙ</t>
  </si>
  <si>
    <t>Иванов Г. Г., Лебедева И. С., Панкина Т. В.</t>
  </si>
  <si>
    <t>978-5-8199-0535-7</t>
  </si>
  <si>
    <t>Рекомендовано Советом ФЭТТ РЭУ им. Г.В. Плеханова в качестве учебника для студентов вузов, обучающихся по направлению 100700.62 "Торговое дело" (бакалавриат)</t>
  </si>
  <si>
    <t>203400.08.01</t>
  </si>
  <si>
    <t>Управленческий анализ:  комплек. анал..: Уч. / Н.А.Казакова - 2 изд. - М.: НИЦ ИНФРА-М, 2023-261с.(ВО) (П)</t>
  </si>
  <si>
    <t>УПРАВЛЕНЧЕСКИЙ АНАЛИЗ:  КОМПЛЕКСНЫЙ АНАЛИЗ И ДИАГНОСТИКА ПРЕДПРИНИМАТЕЛЬСКОЙ ДЕЯТЕЛЬНОСТИ, ИЗД.2</t>
  </si>
  <si>
    <t>978-5-16-005758-3</t>
  </si>
  <si>
    <t>Рекомендовано УМО по образованию в области финансов, учета и мировой экономики в качестве учебного пособия для студентов, обучающихся по специальностям «Бухгалтерский учет, анализ и аудит», «Финансы и кредит», «Налоги и налогообложение»</t>
  </si>
  <si>
    <t>127250.06.01</t>
  </si>
  <si>
    <t>Управленческий учет и анализ в розн. торг. одеждой: Уч. пос./ О.В. Ивашкевич. Магистр,НИЦ ИНФРА-М,2024-128с.</t>
  </si>
  <si>
    <t>УПРАВЛЕНЧЕСКИЙ УЧЕТ И АНАЛИЗ В РОЗНИЧНОЙ ТОРГОВЛЕ ОДЕЖДОЙ</t>
  </si>
  <si>
    <t>Ивашкевич О. В.</t>
  </si>
  <si>
    <t>978-5-9776-0145-0</t>
  </si>
  <si>
    <t>38.04.07, 38.04.01, 38.04.08, 38.04.06, 38.04.02, 38.04.05, 38.03.01, 38.03.06, 38.03.07, 38.03.02, 41.03.06</t>
  </si>
  <si>
    <t>403450.04.01</t>
  </si>
  <si>
    <t>Устойчивое развитие туристских дестинаций в горной и предгорной зоне Северного Кавказа: монография / К.К.Кулян-М.:НИЦ ИНФРА-М,2019.-143 с..-(Научная м</t>
  </si>
  <si>
    <t>УСТОЙЧИВОЕ РАЗВИТИЕ ТУРИСТСКИХ ДЕСТИНАЦИЙ В ГОРНОЙ И ПРЕДГОРНОЙ ЗОНЕ СЕВЕРНОГО КАВКАЗА</t>
  </si>
  <si>
    <t>Кулян К. К., Кулян М. К.</t>
  </si>
  <si>
    <t>978-5-16-006020-0</t>
  </si>
  <si>
    <t>223600.06.01</t>
  </si>
  <si>
    <t>Философия рекламной деят.: Уч.пос. / Л.М.Дмитриева - М:Магистр:НИЦ ИНФРА-М,2022 -256с.(Магистратура) (о)</t>
  </si>
  <si>
    <t>ФИЛОСОФИЯ РЕКЛАМНОЙ ДЕЯТЕЛЬНОСТИ</t>
  </si>
  <si>
    <t>Дмитриева Л. М., Красноярова Д. К., Анашкина Н. А.</t>
  </si>
  <si>
    <t>978-5-9776-0281-5</t>
  </si>
  <si>
    <t>142800.10.01</t>
  </si>
  <si>
    <t>Финансовая среда предпринимательства ...: Уч.пос. / Казакова Н.А. - М: НИЦ ИНФРА-М,2020-208с.(ВО)(П)</t>
  </si>
  <si>
    <t>ФИНАНСОВАЯ СРЕДА ПРЕДПРИНИМАТЕЛЬСТВА И ПРЕДПРИНИМАТЕЛЬСКИЕ РИСКИ</t>
  </si>
  <si>
    <t>978-5-16-004578-8</t>
  </si>
  <si>
    <t>38.04.01, 38.04.08, 38.04.06, 38.04.02, 38.05.01, 38.03.01, 38.03.02</t>
  </si>
  <si>
    <t>Рекомендовано УМО по образованию в области финансов, учета и мировой экономики в качестве учебного пособия для студентов высших учебных заведений, обучающихся по направлению подготовки 38.03.01 «Экономика»</t>
  </si>
  <si>
    <t>417550.06.01</t>
  </si>
  <si>
    <t>Финансовые технологии в маркетинге: Уч.пос. / Т.И.Урясьева-М.:Вуз. уч., НИЦ ИНФРА-М,2024.-200 с.(П)</t>
  </si>
  <si>
    <t>ФИНАНСОВЫЕ ТЕХНОЛОГИИ В МАРКЕТИНГЕ</t>
  </si>
  <si>
    <t>978-5-9558-0296-1</t>
  </si>
  <si>
    <t>38.04.01, 38.04.08, 38.04.02, 38.03.02</t>
  </si>
  <si>
    <t>Допущено Учебно-методическим объединением по образованию в области коммерции и по образованию в области маркетинга в качестве учебного пособия для студентов высших учебных заведений, обучающихся по направлению 100700.68 «Торговое дело», по магистерск</t>
  </si>
  <si>
    <t>384300.07.01</t>
  </si>
  <si>
    <t>Финансы торговых организаций: Уч.пос. / В.П.Чижик - 2 изд. - М.:НИЦ ИНФРА-М,2024-237 с.(ВО: Бакалавр.)(П)</t>
  </si>
  <si>
    <t>ФИНАНСЫ ТОРГОВЫХ ОРГАНИЗАЦИЙ, ИЗД.2</t>
  </si>
  <si>
    <t>Чижик В.П.</t>
  </si>
  <si>
    <t>978-5-16-016999-6</t>
  </si>
  <si>
    <t>38.04.06, 38.03.01, 38.03.06, 38.03.07, 38.03.02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</si>
  <si>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38.03.01 «Экономика» (квалификация (степень) «бакалавр») (протокол № 7 от 22.09.2021)</t>
  </si>
  <si>
    <t>Омский государственный университет им. Ф.М. Достоевского</t>
  </si>
  <si>
    <t>384300.05.01</t>
  </si>
  <si>
    <t>Финансы торговых организаций: Уч.пос. / С.Е.Метелев-М.:Форум, НИЦ ИНФРА-М,2020.-200 с.(ВО:Бакалавр.)(О)</t>
  </si>
  <si>
    <t>ФИНАНСЫ ТОРГОВЫХ ОРГАНИЗАЦИЙ</t>
  </si>
  <si>
    <t>Метелев С.Е., Чижик В.П.</t>
  </si>
  <si>
    <t>978-5-00091-106-8</t>
  </si>
  <si>
    <t>Рекомендовано ФГБОУ ВПО «Государственный университет управления» в качестве учебного пособия для студентов высших учебных заведений, обучающихся по направлению подготовки 38.03.01 «Экономика» (квалификация «бакалавр»)</t>
  </si>
  <si>
    <t>172250.04.01</t>
  </si>
  <si>
    <t>Формирование и использование инструмент.: Моногр./М.Ю.Диканов-М.:ИЦ РИОР, НИЦ ИНФРА-М,2017-163с.(О)</t>
  </si>
  <si>
    <t>ФОРМИРОВАНИЕ И ИСПОЛЬЗОВАНИЕ ИНСТРУМЕНТАРИЯ ОЦЕНКИ КОНКУРЕНТОСПОСОБНОСТИ ОРГАНИЗАЦИЙ СФЕРЫ ТОРГОВЛИ</t>
  </si>
  <si>
    <t>Диканов М. Ю., Скрынникова И. А.</t>
  </si>
  <si>
    <t>978-5-369-01020-4</t>
  </si>
  <si>
    <t>38.04.08, 38.04.06, 38.04.04, 38.03.06, 38.03.04</t>
  </si>
  <si>
    <t>442950.09.01</t>
  </si>
  <si>
    <t>Франчайзинг в торговле: Уч. пос. / Г.Г. Иванов - М.: ИД ФОРУМ:  НИЦ ИНФРА-М, 2023. - 104 с.(ВО) (о)</t>
  </si>
  <si>
    <t>ФРАНЧАЙЗИНГ В ТОРГОВЛЕ</t>
  </si>
  <si>
    <t>978-5-8199-0553-1</t>
  </si>
  <si>
    <t>38.04.07, 38.03.01, 38.03.06, 38.03.02, 41.03.06</t>
  </si>
  <si>
    <t>425050.09.01</t>
  </si>
  <si>
    <t>Функциональный и интернет-маркетинг: Моногр. / О.С.Сухарев - М.: КУРС,НИЦ ИНФРА-М,2024-352с.(Наука)</t>
  </si>
  <si>
    <t>ФУНКЦИОНАЛЬНЫЙ И ИНТЕРНЕТ-МАРКЕТИНГ</t>
  </si>
  <si>
    <t>Сухарев О. С., Курманов Н. В., Мельковская К. Р.</t>
  </si>
  <si>
    <t>978-5-905554-33-9</t>
  </si>
  <si>
    <t>38.04.01, 38.04.08, 38.04.02, 38.04.03, 38.04.05, 38.03.01, 38.03.05, 38.03.02, 38.03.03, 44.03.01, 44.03.05, 41.03.06</t>
  </si>
  <si>
    <t>Московский государственный университет им. М.В. Ломоносова, факультет государственного управления</t>
  </si>
  <si>
    <t>132500.09.01</t>
  </si>
  <si>
    <t>Хранение прод. товаров: Уч. пос./ М.А. Николаева, Г.Я. Резго. -М.:ИД ФОРУМ: ИНФРА-М, 2024-304с. (ВО) (п)</t>
  </si>
  <si>
    <t>ХРАНЕНИЕ ПРОДОВОЛЬСТВЕННЫХ ТОВАРОВ</t>
  </si>
  <si>
    <t>Николаева М. А., Резго Г. Я.</t>
  </si>
  <si>
    <t>978-5-8199-0437-4</t>
  </si>
  <si>
    <t>Допущено УМО по образованию в области коммерции и маркетинга в качестве учебного пособия для студентов высших учебных заведений, обучающихся по специальностям 080301(351300)-Коммерция (торговое дело)" и 080111(061500)-Маркетинг</t>
  </si>
  <si>
    <t>664909.02.01</t>
  </si>
  <si>
    <t>Эволюция восприятия маркетинга. Проект..: Уч.практ.пос./В.И.Грушенко-М.:НИЦ ИНФРА-М,2023-360с(ВО)(П)</t>
  </si>
  <si>
    <t>ЭВОЛЮЦИЯ ВОСПРИЯТИЯ МАРКЕТИНГА. ПРОЕКТИРОВАНИЕ МАРКЕТИНГОВОЙ СТРАТЕГИИ</t>
  </si>
  <si>
    <t>Грушенко В.И.</t>
  </si>
  <si>
    <t>978-5-16-013811-4</t>
  </si>
  <si>
    <t>Учебно-практическое пособие</t>
  </si>
  <si>
    <t>35.03.03, 27.03.02, 38.04.05, 38.03.05, 38.03.02, 44.03.01, 44.03.05, 35.03.04</t>
  </si>
  <si>
    <t>Рекомендовано Учебно-методическим советом ВО в качестве учебного пособия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</t>
  </si>
  <si>
    <t>Финансовый университет при Правительстве Российской Федерации, Смоленский ф-л</t>
  </si>
  <si>
    <t>437950.10.01</t>
  </si>
  <si>
    <t>Экономика гостиничного предприятия: Уч.пос. / Н.И.Малых - М.:Форум,НИЦ ИНФРА-М,2022 - 320 с.(ВО)(П)</t>
  </si>
  <si>
    <t>ЭКОНОМИКА ГОСТИНИЧНОГО ПРЕДПРИЯТИЯ</t>
  </si>
  <si>
    <t>Малых Н. И., Можаева Н. Г.</t>
  </si>
  <si>
    <t>978-5-91134-745-1</t>
  </si>
  <si>
    <t>43.03.03, 38.04.01, 43.04.03, 38.03.01, 43.02.14</t>
  </si>
  <si>
    <t>Рекомендовано УМО учебных заведений Российской Федерации по образованию в области сервиса и туризма в качестве учебного пособия для студентов высших учебных заведений, обучающихся по направлению подготовки 101100.62 «Гостиничное дело»</t>
  </si>
  <si>
    <t>418900.08.01</t>
  </si>
  <si>
    <t>Экономика и организация малого и сред...: Уч. пос./Н.М.Филимонова - 2 изд. - ИНФРА-М, 2024-222с.(ВО)(п)</t>
  </si>
  <si>
    <t>ЭКОНОМИКА И ОРГАНИЗАЦИЯ МАЛОГО И СРЕДНЕГО БИЗНЕСА, ИЗД.2</t>
  </si>
  <si>
    <t>Филимонова Н.М., Моргунова Н.В., Ловкова Е.С.</t>
  </si>
  <si>
    <t>978-5-16-009934-7</t>
  </si>
  <si>
    <t>666706.03.01</t>
  </si>
  <si>
    <t>Экономика и предпринимательство в сервисе и туризме:Уч. / Г.А.Гомилевская и др.-М.:ИЦ РИОР, НИЦ ИНФРА-М,2019.-190 с.(П 7БЦ)</t>
  </si>
  <si>
    <t>ЭКОНОМИКА И ПРЕДПРИНИМАТЕЛЬСТВО В СЕРВИСЕ И ТУРИЗМЕ</t>
  </si>
  <si>
    <t>Гомилевская Г.А., Квасов А.С., Терентьева Т.В.</t>
  </si>
  <si>
    <t>978-5-369-01712-8</t>
  </si>
  <si>
    <t>742802.02.01</t>
  </si>
  <si>
    <t>Экономика маркетинг. и рекл. деят.: Уч.пос. / М.Б.Щепакин.-М.:Магистр, НИЦ ИНФРА-М,2024.-232 с.(П)</t>
  </si>
  <si>
    <t>ЭКОНОМИКА МАРКЕТИНГОВОЙ И РЕКЛАМНОЙ ДЕЯТЕЛЬНОСТИ</t>
  </si>
  <si>
    <t>Щепакин М.Б., Хандамова Э.Ф., Михайлова В.М.</t>
  </si>
  <si>
    <t>978-5-9776-0529-8</t>
  </si>
  <si>
    <t>163600.06.01</t>
  </si>
  <si>
    <t>Экономика организации (торговля): Уч. / Г.Г. Иванов. - М.: ИД ФОРУМ:  ИНФРА-М, 2022. - 352 с. (ВО) (п)</t>
  </si>
  <si>
    <t>ЭКОНОМИКА ОРГАНИЗАЦИИ (ТОРГОВЛЯ)</t>
  </si>
  <si>
    <t>Иванов Г. Г.</t>
  </si>
  <si>
    <t>978-5-8199-0489-3</t>
  </si>
  <si>
    <t>38.03.01, 38.03.07</t>
  </si>
  <si>
    <t>424600.06.01</t>
  </si>
  <si>
    <t>Экономика отрасли туризм: Уч. / Е.И.Богданова - М.: НИЦ Инфра-М, 2023-318с. (ВО:Бакалавр.) (п)</t>
  </si>
  <si>
    <t>ЭКОНОМИКА ОТРАСЛИ ТУРИЗМ</t>
  </si>
  <si>
    <t>Богданов Е. И., Богомолова Е. С., Орловская В. П., Богданов Е. И.</t>
  </si>
  <si>
    <t>978-5-16-004712-6</t>
  </si>
  <si>
    <t>43.03.02, 43.04.02, 38.03.01, 38.03.02</t>
  </si>
  <si>
    <t>701934.02.01</t>
  </si>
  <si>
    <t>Экономика отрасли туризм: Уч. / Под ред. Богданова Е.И.-М.:НИЦ ИНФРА-М,2021.-318 с..-(СПО)(П)</t>
  </si>
  <si>
    <t>Богданов Е.И., Богомолова Е.С., Орловская В.П. и др.</t>
  </si>
  <si>
    <t>978-5-16-014813-7</t>
  </si>
  <si>
    <t>412050.07.01</t>
  </si>
  <si>
    <t>Экономика предприятия туризма: Уч. / С.А.Степанова - М.:НИЦ ИНФРА-М,2022 - 346 с..-(ВО: Бакалавриат)(П)</t>
  </si>
  <si>
    <t>ЭКОНОМИКА ПРЕДПРИЯТИЯ ТУРИЗМА</t>
  </si>
  <si>
    <t>Степанова С. А., Крыга А. В.</t>
  </si>
  <si>
    <t>978-5-16-005445-2</t>
  </si>
  <si>
    <t>43.03.02, 38.03.01, 38.03.02</t>
  </si>
  <si>
    <t>Рекомендовано Учебно-методическим объединением по образованию в области производственного менеджмента в качестве учебника для студентов высших учебных заведений, обучающихся по специальности 080502 «Экономика и управление на предприятиях туризма» и н</t>
  </si>
  <si>
    <t>652893.03.01</t>
  </si>
  <si>
    <t>Экономика сферы услуг: Уч. / Н.В.Василенко - М.:НИЦ ИНФРА-М,2023 - 439 с.-(ВО: Бакалавриат)(П)</t>
  </si>
  <si>
    <t>ЭКОНОМИКА СФЕРЫ УСЛУГ</t>
  </si>
  <si>
    <t>Василенко Н.В.</t>
  </si>
  <si>
    <t>978-5-16-014659-1</t>
  </si>
  <si>
    <t>43.03.01, 43.03.02, 43.03.03, 38.03.01, 44.03.01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</si>
  <si>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укрупненным группам специальностей и направлений 38.00.00 «Экономика и управление», 43.00.00 «Сервис и туризм», 44.00.00 «Образование и педагогические науки» (квалификация (степень) «бакалавр») (протокол № 13 от 16.09.2019)</t>
  </si>
  <si>
    <t>Санкт-Петербургский горный университет</t>
  </si>
  <si>
    <t>757417.01.01</t>
  </si>
  <si>
    <t>Экономика торговой организации: Уч. / Г.Г.Иванов - М.:НИЦ ИНФРА-М,2021 - 182 с.(СПО)(П)</t>
  </si>
  <si>
    <t>ЭКОНОМИКА ТОРГОВОЙ ОРГАНИЗАЦИИ</t>
  </si>
  <si>
    <t>Иванов Г.Г.</t>
  </si>
  <si>
    <t>978-5-16-016902-6</t>
  </si>
  <si>
    <t>38.02.04, 38.02.05, 38.02.01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</si>
  <si>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</si>
  <si>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699765.04.01</t>
  </si>
  <si>
    <t>Экономика торговой организации: Уч. / Г.Г.Иванов-М.:НИЦ ИНФРА-М,2024.-182 с.(ВО(РЭУ))(п)</t>
  </si>
  <si>
    <t>Высшее образование (РЭУ)</t>
  </si>
  <si>
    <t>978-5-16-019074-7</t>
  </si>
  <si>
    <t>38.03.01, 38.03.06, 38.03.07, 38.03.02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</si>
  <si>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«Менеджмент», 38.03.06 «Торговое дело» (квалификация (степень) «бакалавр») (протокол № 8 от 22.06.2020)</t>
  </si>
  <si>
    <t>401400.08.01</t>
  </si>
  <si>
    <t>Экономика туризма: Уч.пос. / А.О.Овчаров - 2 изд. - М.:НИЦ ИНФРА-М,2024 - 264 с.(ВО: Бакалавриат)(П)</t>
  </si>
  <si>
    <t>ЭКОНОМИКА ТУРИЗМА, ИЗД.2</t>
  </si>
  <si>
    <t>Овчаров А.О.</t>
  </si>
  <si>
    <t>978-5-16-017365-8</t>
  </si>
  <si>
    <t>Рекомендовано ФГБОУ ВПО «Санкт-Петербургский государственный университет сервиса и экономики» в качестве учебного пособия для студентов высших учебных заведений,обучающихся по направлению 43.03.02 «Туризм» (регистрационный номер рецензии 1772 от 27.03.2012, МГУП)</t>
  </si>
  <si>
    <t>401400.06.01</t>
  </si>
  <si>
    <t>Экономика туризма: Уч.пос. / А.О.Овчаров - М.:НИЦ ИНФРА-М,2022 - 253 с.-(ВО: Бакалавриат)(о)</t>
  </si>
  <si>
    <t>ЭКОНОМИКА ТУРИЗМА</t>
  </si>
  <si>
    <t>978-5-16-005335-6</t>
  </si>
  <si>
    <t>Рекомендовано ФГБОУ ВПО «Санкт-Петербургский государственный университет сервиса и экономики» в качестве учебного пособия для студентов высших учебных заведений, обучающихся по направлению 43.03.02 «Туризм» (регистрационный номер рецензии 1772 от 27.03.2012, МГУП)</t>
  </si>
  <si>
    <t>405200.06.01</t>
  </si>
  <si>
    <t>Экономика туристских предприятий: Уч.пос. / А.О.Овчаров-М.:НИЦ ИНФРА-М,2023.-176 с..-(ВО)(П)</t>
  </si>
  <si>
    <t>ЭКОНОМИКА ТУРИСТСКИХ ПРЕДПРИЯТИЙ</t>
  </si>
  <si>
    <t>978-5-16-005423-0</t>
  </si>
  <si>
    <t>43.03.02, 43.03.03, 38.04.01, 43.04.02, 43.04.03, 38.03.01</t>
  </si>
  <si>
    <t>735066.03.01</t>
  </si>
  <si>
    <t>Экскурсионная деят. в индустрии гостеприимства: Уч.пос. / И.С.Барчуков.-М.:Вуз. уч., НИЦ ИНФРА-М,2023.-204с(П)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</si>
  <si>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</si>
  <si>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</si>
  <si>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</si>
  <si>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</si>
  <si>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</si>
  <si>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156150.09.01</t>
  </si>
  <si>
    <t>Экскурсионная деятельность в индустрии гостеприим.:Уч. пос./Ю.Б.Башин - Вуз. уч.:ИНФРА-М, 2024-204с. (п)</t>
  </si>
  <si>
    <t>Башин Ю. Б., Зайцев А. В., Баумгартен Л. В., Барчуков И. С., Башин Ю. Б.</t>
  </si>
  <si>
    <t>978-5-9558-0209-1</t>
  </si>
  <si>
    <t>43.03.01, 43.03.03, 51.04.04, 43.04.01, 43.04.03, 51.03.04</t>
  </si>
  <si>
    <t>632306.04.01</t>
  </si>
  <si>
    <t>Экспертиза дикорастущих плодов, ягод и травян..: Уч. / И.Э.Цапалова-6 изд.-М.:НИЦ ИНФРА-М,2024-463с(ВО)(п)</t>
  </si>
  <si>
    <t>ЭКСПЕРТИЗА ДИКОРАСТУЩИХ ПЛОДОВ, ЯГОД И ТРАВЯНИСТЫХ РАСТЕНИЙ. КАЧЕСТВО И БЕЗОПАСНОСТЬ, ИЗД.6</t>
  </si>
  <si>
    <t>Цапалова И.Э., Голуб О.В., Губина М.Д. и др.</t>
  </si>
  <si>
    <t>978-5-16-019306-9</t>
  </si>
  <si>
    <t>Рекомендовано в качестве учебника для студентов высших учебных заведений, обучающихся по направлениям подготовки 38.03.07 и 38.04.07 «Товароведение» (квалификация (степень) «бакалавр» и «магистр»)</t>
  </si>
  <si>
    <t>0617</t>
  </si>
  <si>
    <t>155700.07.01</t>
  </si>
  <si>
    <t>Экспертиза качества и сертиф. рыбы и рыб. прод.: Уч. пос. / О.А.Голубенко-М.:Альфа-М, 2023-256(ПРОФИль)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</si>
  <si>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</si>
  <si>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</si>
  <si>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</si>
  <si>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43.02.01, 38.02.04, 38.02.05, 19.03.02, 19.03.04</t>
  </si>
  <si>
    <t>Рекомендовано ФГУ "ФИРО" в качестве уч. пос. для использ. в учеб. процессе образов. учр., реализ. прогр. СПО по спец 100106 Орг-ция обслуж. в обществ. питании, 080501 Менеджмент(по отр.), 080302 Коммерция(по отр.), 200504 Стандарт. и сетриф. прод, 08</t>
  </si>
  <si>
    <t>153300.07.01</t>
  </si>
  <si>
    <t>Экспертиза качества и сертификация кондит. товаров: Уч. пос. / О.А.Голубенко - М.: ИНФРА-М, 2023-240с. (П)</t>
  </si>
  <si>
    <t>ЭКСПЕРТИЗА КАЧЕСТВА И СЕРТИФИКАЦИЯ КОНДИТЕРСКИХ ТОВАРОВ</t>
  </si>
  <si>
    <t>978-5-16-018583-5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</si>
  <si>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специальностям 100106 «Организация обслуживания в общественном питании», 080501 «Менеджмент (по отраслям)», 080302 «Коммерция (по отраслям)», 200504 «Стандартизация и сертификация продукции (по отраслям)», 080403 «Товароведение и экспертиза качества потребительских товаров»</t>
  </si>
  <si>
    <t>257700.06.01</t>
  </si>
  <si>
    <t>Экспертиза пищ.концентратов. Качество и безоп.: Уч.-спр.пос. / И.Ю.Резниченко-4изд. М.:НИЦ ИНФРА-М,2024-270с(ВО)(П)</t>
  </si>
  <si>
    <t>ЭКСПЕРТИЗА ПИЩЕВЫХ КОНЦЕНТРАТОВ. КАЧЕСТВО И БЕЗОПАСНОСТЬ, ИЗД.4</t>
  </si>
  <si>
    <t>И.Ю.Резниченко, В.М.Позняковский, А.О.Камбаров и др.</t>
  </si>
  <si>
    <t>978-5-16-009477-9</t>
  </si>
  <si>
    <t>469850.05.01</t>
  </si>
  <si>
    <t>Экспертиза строительных товаров: Уч. пос. / Ф.А. Петрище - М.: ИД ФОРУМ: ИНФРА-М, 2023 - 320 с. (ВО)</t>
  </si>
  <si>
    <t>ЭКСПЕРТИЗА СТРОИТЕЛЬНЫХ ТОВАРОВ</t>
  </si>
  <si>
    <t>978-5-8199-0598-2</t>
  </si>
  <si>
    <t>180550.08.01</t>
  </si>
  <si>
    <t>Электронная коммерция: Уч. / Л.А.Брагин, Г.Г.Иванов - М.: ИД ФОРУМ:  НИЦ Инфра-М, 2024-192с.(ВО) (п)</t>
  </si>
  <si>
    <t>ЭЛЕКТРОННАЯ КОММЕРЦИЯ</t>
  </si>
  <si>
    <t>Брагин Л. А., Иванов Г. Г., Никишин А. Ф., Панкина Т. В.</t>
  </si>
  <si>
    <t>978-5-8199-0507-4</t>
  </si>
  <si>
    <t>38.02.04, 38.02.03, 38.04.01, 38.04.06, 38.04.05, 09.04.02, 38.03.01, 38.03.05, 38.03.06</t>
  </si>
  <si>
    <t>223300.10.01</t>
  </si>
  <si>
    <t>Этика делового общения: Уч.пос. / И.С.Иванова, - 3 изд.,-М.:НИЦ ИНФРА-М,2024-168 с.(ВО: Бакалавр.)(О)</t>
  </si>
  <si>
    <t>ЭТИКА ДЕЛОВОГО ОБЩЕНИЯ, ИЗД.3</t>
  </si>
  <si>
    <t>Иванова И. С.</t>
  </si>
  <si>
    <t>978-5-16-008998-0</t>
  </si>
  <si>
    <t>43.02.10, 41.03.04, 40.03.01, 42.03.02, 42.03.01, 41.03.05, 41.03.03, 43.03.01, 43.03.02, 43.03.03, 42.04.05, 42.04.01, 42.04.04, 39.04.03, 38.04.09, 38.04.07, 41.04.04, 40.04.01, 42.04.02, 41.04.05, 41.04.03, 42.04.03, 41.04.01, 41.04.02, 39.04.02, 39.04.01, 38.04.01, 38.04.08, 38.04.06, 38.04.02, 38.04.03, 38.04.04, 38.04.05, 43.04.01, 43.04.02, 43.04.03, 40.05.01, 40.05.02, 40.05.03, 38.05.01, 38.05.02, 42.03.05, 38.03.01, 38.03.05, 38.03.06, 38.03.07, 38.03.02, 38.03.04, 38.03.03, 39.03.01, 42.03.03, 41.03.01, 41.03.02, 39.03.02, 39.03.03, 41.03.06, 42.03.04</t>
  </si>
  <si>
    <t>Рекомендовано Советом Учебно-методического объединения по образованию в области менеджмента в качестве учебного пособия для студентов высших учебных заведений, обучающихся по направлению подготовки 38.03.02 (080200.62) «Менеджмент» (квалификация (степень) «бакалавр»)</t>
  </si>
  <si>
    <t>Московский государственный университет им. М.В. Ломоносова</t>
  </si>
  <si>
    <t>037200.21.01</t>
  </si>
  <si>
    <t>Этика деловых отношений: Уч. / Под ред. Кибанова А.Я. - 2 изд. - М.:НИЦ ИНФРА-М,2023 - 383 с.(ВО)(П)</t>
  </si>
  <si>
    <t>ЭТИКА ДЕЛОВЫХ ОТНОШЕНИЙ, ИЗД.2</t>
  </si>
  <si>
    <t>Кибанов А. Я., Захаров Д. К., Коновалова В. Г., Кибанов А. Я.</t>
  </si>
  <si>
    <t>978-5-16-006723-0</t>
  </si>
  <si>
    <t>38.04.02, 38.04.03, 38.03.01, 38.03.02, 38.03.03</t>
  </si>
  <si>
    <t>Рекомендовано Мин. обр. и науки РФ в качестве учебника для студентов высших учебных заведений, обучающихся по специальностям  "Управление персоналом"</t>
  </si>
  <si>
    <t>0208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</si>
  <si>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</si>
  <si>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</si>
  <si>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</si>
  <si>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</si>
  <si>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</si>
  <si>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31.02.01, 00.02.33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</si>
  <si>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</si>
  <si>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764167.01.01</t>
  </si>
  <si>
    <t>Эффективные деловые переговоры: Уч.пос. / Л.И.Заволокина-М.:НИЦ ИНФРА-М,2022.-148с.(ВО: Магистр.)(П)</t>
  </si>
  <si>
    <t>ЭФФЕКТИВНЫЕ ДЕЛОВЫЕ ПЕРЕГОВОРЫ</t>
  </si>
  <si>
    <t>Заволокина Л.И.</t>
  </si>
  <si>
    <t>978-5-16-017208-8</t>
  </si>
  <si>
    <t>38.04.01, 38.04.06, 38.04.02, 38.04.04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</si>
  <si>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направлениям подготовки 38.04.01 «Экономика», 38.04.02 «Менеджмент» (квалификация (степень) «магистр») (протокол № 6 от 08.06.2022)</t>
  </si>
  <si>
    <t>Российский университет дружбы народов</t>
  </si>
  <si>
    <t>00.00.00</t>
  </si>
  <si>
    <t>ОБЩИЕ ДИСЦИПЛИНЫ ДЛЯ ВСЕХ СПЕЦИАЛЬНОСТЕЙ</t>
  </si>
  <si>
    <t>00.01.04</t>
  </si>
  <si>
    <t>Психология общения</t>
  </si>
  <si>
    <t>00.02.15</t>
  </si>
  <si>
    <t>00.02.33</t>
  </si>
  <si>
    <t>Профессиональная этика и служебный этикет</t>
  </si>
  <si>
    <t>00.02.34</t>
  </si>
  <si>
    <t>Русский язык и культура речи</t>
  </si>
  <si>
    <t>Экономика организации</t>
  </si>
  <si>
    <t>Основы предпринимательства</t>
  </si>
  <si>
    <t>00.03.13</t>
  </si>
  <si>
    <t>Экономика</t>
  </si>
  <si>
    <t>Сопротивление материалов</t>
  </si>
  <si>
    <t>01.00.00</t>
  </si>
  <si>
    <t>МАТЕМАТИКА И МЕХАНИКА</t>
  </si>
  <si>
    <t>01.03.01</t>
  </si>
  <si>
    <t>Математика</t>
  </si>
  <si>
    <t>01.04.01</t>
  </si>
  <si>
    <t>02.00.00</t>
  </si>
  <si>
    <t>КОМПЬЮТЕРНЫЕ И ИНФОРМАЦИОННЫЕ НАУКИ</t>
  </si>
  <si>
    <t>02.03.01</t>
  </si>
  <si>
    <t>Математика и компьютерные науки</t>
  </si>
  <si>
    <t>02.04.01</t>
  </si>
  <si>
    <t>03.00.00</t>
  </si>
  <si>
    <t>ФИЗИКА И АСТРОНОМИЯ</t>
  </si>
  <si>
    <t>03.03.02</t>
  </si>
  <si>
    <t>Прикладная математика и информатика</t>
  </si>
  <si>
    <t>04.00.00</t>
  </si>
  <si>
    <t>ХИМИЯ</t>
  </si>
  <si>
    <t>04.03.01</t>
  </si>
  <si>
    <t>Химия</t>
  </si>
  <si>
    <t>04.03.02</t>
  </si>
  <si>
    <t>Химия, физика и механика материалов</t>
  </si>
  <si>
    <t>05.00.00</t>
  </si>
  <si>
    <t>НАУКИ О ЗЕМЛЕ</t>
  </si>
  <si>
    <t>05.02.01</t>
  </si>
  <si>
    <t>Картография</t>
  </si>
  <si>
    <t>05.02.02</t>
  </si>
  <si>
    <t>Гидрология</t>
  </si>
  <si>
    <t>05.03.02</t>
  </si>
  <si>
    <t>География</t>
  </si>
  <si>
    <t>05.03.06</t>
  </si>
  <si>
    <t>Экология и природопользование</t>
  </si>
  <si>
    <t>05.04.02</t>
  </si>
  <si>
    <t>05.04.06</t>
  </si>
  <si>
    <t>07.00.00</t>
  </si>
  <si>
    <t>АРХИТЕКТУРА</t>
  </si>
  <si>
    <t>07.03.01</t>
  </si>
  <si>
    <t>Архитектура</t>
  </si>
  <si>
    <t>07.03.02</t>
  </si>
  <si>
    <t>Реконструкция и реставрация архитектурного наследия</t>
  </si>
  <si>
    <t>07.03.03</t>
  </si>
  <si>
    <t>Дизайн архитектурной среды</t>
  </si>
  <si>
    <t>07.03.04</t>
  </si>
  <si>
    <t>Градостроительство</t>
  </si>
  <si>
    <t>07.04.02</t>
  </si>
  <si>
    <t>08.00.00</t>
  </si>
  <si>
    <t>ТЕХНИКА И ТЕХНОЛОГИИ СТРОИТЕЛЬСТВА</t>
  </si>
  <si>
    <t>08.02.01</t>
  </si>
  <si>
    <t>Строительство и эксплуатация зданий и сооружений</t>
  </si>
  <si>
    <t>08.02.02</t>
  </si>
  <si>
    <t>Строительство и эксплуатация инженерных сооружений</t>
  </si>
  <si>
    <t>08.02.04</t>
  </si>
  <si>
    <t>Водоснабжение и водоотведение</t>
  </si>
  <si>
    <t>08.02.05</t>
  </si>
  <si>
    <t>Строительство и эксплуатация автомобильных дорог и аэродромов</t>
  </si>
  <si>
    <t>08.02.07</t>
  </si>
  <si>
    <t>Монтаж и эксплуатация внутренних сантехнических устройств, кондиционирования воздуха и вентиляции</t>
  </si>
  <si>
    <t>08.03.01</t>
  </si>
  <si>
    <t>Строительство</t>
  </si>
  <si>
    <t>09.00.00</t>
  </si>
  <si>
    <t>ИНФОРМАТИКА И ВЫЧИСЛИТЕЛЬНАЯ ТЕХНИКА</t>
  </si>
  <si>
    <t>09.02.06</t>
  </si>
  <si>
    <t>Сетевое и системное администрирование</t>
  </si>
  <si>
    <t>09.04.02</t>
  </si>
  <si>
    <t>Информационные системы и технологии</t>
  </si>
  <si>
    <t>11.00.00</t>
  </si>
  <si>
    <t>ЭЛЕКТРОНИКА, РАДИОТЕХНИКА И СИСТЕМЫ СВЯЗИ</t>
  </si>
  <si>
    <t>11.02.02</t>
  </si>
  <si>
    <t>Техническое обслуживание и ремонт радиоэлектронной техники (по отраслям)</t>
  </si>
  <si>
    <t>11.02.15</t>
  </si>
  <si>
    <t>Инфокоммуникационные сети и системы связи</t>
  </si>
  <si>
    <t>11.03.01</t>
  </si>
  <si>
    <t>Радиотехника</t>
  </si>
  <si>
    <t>11.03.02</t>
  </si>
  <si>
    <t>Инфокоммуникационные технологии и системы связи</t>
  </si>
  <si>
    <t>11.03.03</t>
  </si>
  <si>
    <t>Конструирование и технология электронных средств</t>
  </si>
  <si>
    <t>11.03.04</t>
  </si>
  <si>
    <t>Электроника и наноэлектроника</t>
  </si>
  <si>
    <t>11.04.01</t>
  </si>
  <si>
    <t>11.04.02</t>
  </si>
  <si>
    <t>11.04.03</t>
  </si>
  <si>
    <t>11.04.04</t>
  </si>
  <si>
    <t>11.05.01</t>
  </si>
  <si>
    <t>Радиоэлектронные системы и комплексы</t>
  </si>
  <si>
    <t>11.05.02</t>
  </si>
  <si>
    <t>Специальные радиотехнические системы</t>
  </si>
  <si>
    <t>11.05.04</t>
  </si>
  <si>
    <t>Инфокоммуникационные технологии и системы специальной связи</t>
  </si>
  <si>
    <t>12.00.00</t>
  </si>
  <si>
    <t>ФОТОНИКА, ПРИБОРОСТРОЕНИЕ, ОПТИЧЕСКИЕ И БИОТЕХНИЧЕСКИЕ СИСТЕМЫ И ТЕХНОЛОГИИ</t>
  </si>
  <si>
    <t>12.03.01</t>
  </si>
  <si>
    <t>Приборостроение</t>
  </si>
  <si>
    <t>12.03.02</t>
  </si>
  <si>
    <t>Оптотехника</t>
  </si>
  <si>
    <t>12.03.03</t>
  </si>
  <si>
    <t>Фотоника и оптоинформатика</t>
  </si>
  <si>
    <t>12.03.04</t>
  </si>
  <si>
    <t>Биотехнические системы и технологии</t>
  </si>
  <si>
    <t>12.03.05</t>
  </si>
  <si>
    <t>Лазерная техника и лазерные технологии</t>
  </si>
  <si>
    <t>13.00.00</t>
  </si>
  <si>
    <t>ЭЛЕКТРО- И ТЕПЛОЭНЕРГЕТИКА</t>
  </si>
  <si>
    <t>13.02.03</t>
  </si>
  <si>
    <t>Электрические станции, сети и системы</t>
  </si>
  <si>
    <t>13.02.05</t>
  </si>
  <si>
    <t>Технология воды, топлива и смазочных материалов на электрических станциях</t>
  </si>
  <si>
    <t>13.03.01</t>
  </si>
  <si>
    <t>Теплоэнергетика и теплотехника</t>
  </si>
  <si>
    <t>13.03.02</t>
  </si>
  <si>
    <t>Электроэнергетика и электротехника</t>
  </si>
  <si>
    <t>13.03.03</t>
  </si>
  <si>
    <t>Энергетическое машиностроение</t>
  </si>
  <si>
    <t>15.00.00</t>
  </si>
  <si>
    <t>МАШИНОСТРОЕНИЕ</t>
  </si>
  <si>
    <t>15.02.05</t>
  </si>
  <si>
    <t>Техническая эксплуатация оборудования в торговле и общественном питании</t>
  </si>
  <si>
    <t>15.02.07</t>
  </si>
  <si>
    <t>Автоматизация технологических процессов и производств (по отраслям)</t>
  </si>
  <si>
    <t>15.03.01</t>
  </si>
  <si>
    <t>Машиностроение</t>
  </si>
  <si>
    <t>15.03.02</t>
  </si>
  <si>
    <t>Технологические машины и оборудование</t>
  </si>
  <si>
    <t>15.03.03</t>
  </si>
  <si>
    <t>Прикладная механика</t>
  </si>
  <si>
    <t>15.03.04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</si>
  <si>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</si>
  <si>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</si>
  <si>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</si>
  <si>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15.03.06</t>
  </si>
  <si>
    <t>Мехатроника и роботехника</t>
  </si>
  <si>
    <t>17.00.00</t>
  </si>
  <si>
    <t>ОРУЖИЕ И СИСТЕМЫ ВООРУЖЕНИЯ</t>
  </si>
  <si>
    <t>17.03.01</t>
  </si>
  <si>
    <t>Корабельное вооружение</t>
  </si>
  <si>
    <t>18.00.00</t>
  </si>
  <si>
    <t>ХИМИЧЕСКИЕ ТЕХНОЛОГИИ</t>
  </si>
  <si>
    <t>18.02.13</t>
  </si>
  <si>
    <t>Технология производства изделий из полимерных композитов</t>
  </si>
  <si>
    <t>18.03.01</t>
  </si>
  <si>
    <t>Химическая технология</t>
  </si>
  <si>
    <t>18.03.02</t>
  </si>
  <si>
    <t>Энерго- и ресурсосберегающие процессы в химической технологии, нефтехимии и биотехнологии</t>
  </si>
  <si>
    <t>18.05.02</t>
  </si>
  <si>
    <t>Химическая технология материалов современной энергетики</t>
  </si>
  <si>
    <t>19.00.00</t>
  </si>
  <si>
    <t>ПРОМЫШЛЕННАЯ ЭКОЛОГИЯ И БИОТЕХНОЛОГИИ</t>
  </si>
  <si>
    <t>19.02.03</t>
  </si>
  <si>
    <t>Технология хлеба, кондитерских и макаронных изделий</t>
  </si>
  <si>
    <t>19.02.04</t>
  </si>
  <si>
    <t>Технология сахаристых продуктов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</si>
  <si>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</si>
  <si>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</si>
  <si>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</si>
  <si>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</si>
  <si>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19.02.10</t>
  </si>
  <si>
    <t>Технология продукции общественного питания</t>
  </si>
  <si>
    <t>19.03.01</t>
  </si>
  <si>
    <t>Биотехнология</t>
  </si>
  <si>
    <t>19.03.02</t>
  </si>
  <si>
    <t>Продукты питания из растительного сырья</t>
  </si>
  <si>
    <t>19.03.03</t>
  </si>
  <si>
    <t>Продукты питания животного происхождения</t>
  </si>
  <si>
    <t>19.03.04</t>
  </si>
  <si>
    <t>Технология продукции и организация общественного питания</t>
  </si>
  <si>
    <t>19.04.03</t>
  </si>
  <si>
    <t>19.04.04</t>
  </si>
  <si>
    <t>20.00.00</t>
  </si>
  <si>
    <t>ТЕХНОСФЕРНАЯ БЕЗОПАСНОСТЬ И ПРИРОДООБУСТРОЙСТВО</t>
  </si>
  <si>
    <t>20.02.01</t>
  </si>
  <si>
    <t>Рациональное использование природохозяйственных комплексов</t>
  </si>
  <si>
    <t>20.03.01</t>
  </si>
  <si>
    <t>Техносферная безопасность</t>
  </si>
  <si>
    <t>20.03.02</t>
  </si>
  <si>
    <t>Природообустройство и водопользование</t>
  </si>
  <si>
    <t>20.04.01</t>
  </si>
  <si>
    <t>21.00.00</t>
  </si>
  <si>
    <t>ПРИКЛАДНАЯ ГЕОЛОГИЯ, ГОРНОЕ ДЕЛО, НЕФТЕГАЗОВОЕ ДЕЛО И ГЕОДЕЗИЯ</t>
  </si>
  <si>
    <t>21.03.01</t>
  </si>
  <si>
    <t>Нефтегазовое дело</t>
  </si>
  <si>
    <t>21.04.01</t>
  </si>
  <si>
    <t>21.05.04</t>
  </si>
  <si>
    <t>Горное дело</t>
  </si>
  <si>
    <t>22.00.00</t>
  </si>
  <si>
    <t>ТЕХНОЛОГИИ МАТЕРИАЛОВ</t>
  </si>
  <si>
    <t>22.02.05</t>
  </si>
  <si>
    <t>Обработка металлов давлением</t>
  </si>
  <si>
    <t>22.03.01</t>
  </si>
  <si>
    <t>Материаловедение и технологии материалов</t>
  </si>
  <si>
    <t>22.03.02</t>
  </si>
  <si>
    <t>Металлургия</t>
  </si>
  <si>
    <t>23.00.00</t>
  </si>
  <si>
    <t>ТЕХНИКА И ТЕХНОЛОГИИ НАЗЕМНОГО ТРАНСПОРТА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</si>
  <si>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</si>
  <si>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</si>
  <si>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23.02.07</t>
  </si>
  <si>
    <t>Техническое обслуживание и ремонт двигателей, систем и агрегатов автомобилей</t>
  </si>
  <si>
    <t>23.03.01</t>
  </si>
  <si>
    <t>Технология транспортных процессов</t>
  </si>
  <si>
    <t>23.03.02</t>
  </si>
  <si>
    <t>Наземные транспортно-технологические комплексы</t>
  </si>
  <si>
    <t>23.03.03</t>
  </si>
  <si>
    <t>Эксплуатация транспортно-технологических машин и комплексов</t>
  </si>
  <si>
    <t>23.04.01</t>
  </si>
  <si>
    <t>23.04.02</t>
  </si>
  <si>
    <t>23.04.03</t>
  </si>
  <si>
    <t>23.05.01</t>
  </si>
  <si>
    <t>Наземные транспортно-технологические средства</t>
  </si>
  <si>
    <t>23.05.04</t>
  </si>
  <si>
    <t>Эксплуатация железных дорог</t>
  </si>
  <si>
    <t>23.06.01</t>
  </si>
  <si>
    <t>Техника и технологии наземного транспорта</t>
  </si>
  <si>
    <t>24.00.00</t>
  </si>
  <si>
    <t>АВИАЦИОННАЯ И РАКЕТНО-КОСМИЧЕСКАЯ ТЕХНИКА</t>
  </si>
  <si>
    <t>24.03.01</t>
  </si>
  <si>
    <t>Ракетные комплексы и космонавтика</t>
  </si>
  <si>
    <t>24.04.01</t>
  </si>
  <si>
    <t>24.05.06</t>
  </si>
  <si>
    <t>Системы управления летательными аппаратами</t>
  </si>
  <si>
    <t>25.00.00</t>
  </si>
  <si>
    <t>АЭРОНАВИГАЦИЯ И ЭКСПЛУАТАЦИЯ АВИАЦИОННОЙ И РАКЕТНО-КОСМИЧЕСКОЙ ТЕХНИКИ</t>
  </si>
  <si>
    <t>25.02.07</t>
  </si>
  <si>
    <t>Техническое обслуживание авиационных двигателей</t>
  </si>
  <si>
    <t>26.00.00</t>
  </si>
  <si>
    <t>ТЕХНИКА И ТЕХНОЛОГИИ КОРАБЛЕСТРОЕНИЯ И ВОДНОГО ТРАНСПОРТА</t>
  </si>
  <si>
    <t>26.02.02</t>
  </si>
  <si>
    <t>Судостроение</t>
  </si>
  <si>
    <t>26.02.04</t>
  </si>
  <si>
    <t>Монтаж и техническое обслуживание судовых машин и механизмов</t>
  </si>
  <si>
    <t>26.03.02</t>
  </si>
  <si>
    <t>Кораблестроение, океанотехника и системотехника объектов морской инфраструктуры</t>
  </si>
  <si>
    <t>27.00.00</t>
  </si>
  <si>
    <t>УПРАВЛЕНИЕ В ТЕХНИЧЕСКИХ СИСТЕМАХ</t>
  </si>
  <si>
    <t>27.02.06</t>
  </si>
  <si>
    <t>Контроль работы измерительных приборов</t>
  </si>
  <si>
    <t>27.02.07</t>
  </si>
  <si>
    <t>Управление качеством продукции, процессов и услуг (по отраслям)</t>
  </si>
  <si>
    <t>27.03.02</t>
  </si>
  <si>
    <t>Управление качеством</t>
  </si>
  <si>
    <t>27.03.05</t>
  </si>
  <si>
    <t>Инноватика</t>
  </si>
  <si>
    <t>27.04.03</t>
  </si>
  <si>
    <t>Системный анализ и управление</t>
  </si>
  <si>
    <t>27.04.07</t>
  </si>
  <si>
    <t>Наукоемкие технологии и экономика инноваций</t>
  </si>
  <si>
    <t>27.05.01</t>
  </si>
  <si>
    <t>Специальные организационно-технические системы</t>
  </si>
  <si>
    <t>29.00.00</t>
  </si>
  <si>
    <t>ТЕХНОЛОГИИ ЛЕГКОЙ ПРОМЫШЛЕННОСТИ</t>
  </si>
  <si>
    <t>29.03.02</t>
  </si>
  <si>
    <t>Технологии и проектирование техстильных изделий</t>
  </si>
  <si>
    <t>29.04.03</t>
  </si>
  <si>
    <t>Технология полиграфического и упаковочного производства</t>
  </si>
  <si>
    <t>31.00.00</t>
  </si>
  <si>
    <t>КЛИНИЧЕСКАЯ МЕДИЦИНА</t>
  </si>
  <si>
    <t>31.02.01</t>
  </si>
  <si>
    <t>Лечебное дело</t>
  </si>
  <si>
    <t>31.05.01</t>
  </si>
  <si>
    <t>31.05.02</t>
  </si>
  <si>
    <t>Педиатрия</t>
  </si>
  <si>
    <t>31.05.03</t>
  </si>
  <si>
    <t>Стоматология</t>
  </si>
  <si>
    <t>31.06.01</t>
  </si>
  <si>
    <t>Клиническая медицина</t>
  </si>
  <si>
    <t>31.07.01</t>
  </si>
  <si>
    <t>31.08.01</t>
  </si>
  <si>
    <t>Акушерство и гинекология</t>
  </si>
  <si>
    <t>31.08.02</t>
  </si>
  <si>
    <t>Анестезиология-реаниматология</t>
  </si>
  <si>
    <t>31.08.03</t>
  </si>
  <si>
    <t>Токсикология</t>
  </si>
  <si>
    <t>31.08.04</t>
  </si>
  <si>
    <t>Трансфузиология</t>
  </si>
  <si>
    <t>31.08.05</t>
  </si>
  <si>
    <t>Клиническая лабораторная диагностика</t>
  </si>
  <si>
    <t>31.08.06</t>
  </si>
  <si>
    <t>Лабораторная генетика</t>
  </si>
  <si>
    <t>31.08.07</t>
  </si>
  <si>
    <t>Патологическая анатомия</t>
  </si>
  <si>
    <t>31.08.08</t>
  </si>
  <si>
    <t>Радиология</t>
  </si>
  <si>
    <t>31.08.09</t>
  </si>
  <si>
    <t>Рентгенология</t>
  </si>
  <si>
    <t>31.08.10</t>
  </si>
  <si>
    <t>Судебно-медицинская экспертиза</t>
  </si>
  <si>
    <t>31.08.11</t>
  </si>
  <si>
    <t>Ультразвуковая диагностика</t>
  </si>
  <si>
    <t>31.08.12</t>
  </si>
  <si>
    <t>Функциональная диагностика</t>
  </si>
  <si>
    <t>31.08.13</t>
  </si>
  <si>
    <t>Детская кардиология</t>
  </si>
  <si>
    <t>31.08.14</t>
  </si>
  <si>
    <t>Детская онкология</t>
  </si>
  <si>
    <t>31.08.15</t>
  </si>
  <si>
    <t>Детская урология-андрология</t>
  </si>
  <si>
    <t>31.08.16</t>
  </si>
  <si>
    <t>Детская хирургия</t>
  </si>
  <si>
    <t>31.08.17</t>
  </si>
  <si>
    <t>Детская эндокринология</t>
  </si>
  <si>
    <t>31.08.18</t>
  </si>
  <si>
    <t>Неонатология</t>
  </si>
  <si>
    <t>31.08.19</t>
  </si>
  <si>
    <t>31.08.20</t>
  </si>
  <si>
    <t>Психиатрия</t>
  </si>
  <si>
    <t>31.08.21</t>
  </si>
  <si>
    <t>Психиатрия-наркология</t>
  </si>
  <si>
    <t>31.08.22</t>
  </si>
  <si>
    <t>Психотерапия</t>
  </si>
  <si>
    <t>31.08.23</t>
  </si>
  <si>
    <t>Сексология</t>
  </si>
  <si>
    <t>31.08.24</t>
  </si>
  <si>
    <t>Судебно-психиатрическая экспертиза</t>
  </si>
  <si>
    <t>31.08.25</t>
  </si>
  <si>
    <t>Авиационная и космическая медицина</t>
  </si>
  <si>
    <t>31.08.26</t>
  </si>
  <si>
    <t>Аллергология и иммунология</t>
  </si>
  <si>
    <t>31.08.28</t>
  </si>
  <si>
    <t>Гастроэнтерология</t>
  </si>
  <si>
    <t>31.08.29</t>
  </si>
  <si>
    <t>Гематология</t>
  </si>
  <si>
    <t>31.08.30</t>
  </si>
  <si>
    <t>Генетика</t>
  </si>
  <si>
    <t>31.08.31</t>
  </si>
  <si>
    <t>Гериатрия</t>
  </si>
  <si>
    <t>31.08.32</t>
  </si>
  <si>
    <t>Дерматовенерология</t>
  </si>
  <si>
    <t>31.08.33</t>
  </si>
  <si>
    <t>Диабетология</t>
  </si>
  <si>
    <t>31.08.34</t>
  </si>
  <si>
    <t>Диетология</t>
  </si>
  <si>
    <t>31.08.35</t>
  </si>
  <si>
    <t>Инфекционные болезни</t>
  </si>
  <si>
    <t>31.08.36</t>
  </si>
  <si>
    <t>Кардиология</t>
  </si>
  <si>
    <t>31.08.37</t>
  </si>
  <si>
    <t>Клиническая фармакология</t>
  </si>
  <si>
    <t>31.08.38</t>
  </si>
  <si>
    <t>Косметология</t>
  </si>
  <si>
    <t>31.08.39</t>
  </si>
  <si>
    <t>Лечебная физкультура и спортивная медицина</t>
  </si>
  <si>
    <t>31.08.40</t>
  </si>
  <si>
    <t>Мануальная терапия</t>
  </si>
  <si>
    <t>31.08.41</t>
  </si>
  <si>
    <t>Медико-социальная экспертиза</t>
  </si>
  <si>
    <t>31.08.42</t>
  </si>
  <si>
    <t>Неврология</t>
  </si>
  <si>
    <t>31.08.43</t>
  </si>
  <si>
    <t>Нефрология</t>
  </si>
  <si>
    <t>31.08.44</t>
  </si>
  <si>
    <t>Профпатология</t>
  </si>
  <si>
    <t>31.08.45</t>
  </si>
  <si>
    <t>Пульмонология</t>
  </si>
  <si>
    <t>31.08.46</t>
  </si>
  <si>
    <t>Ревматология</t>
  </si>
  <si>
    <t>31.08.47</t>
  </si>
  <si>
    <t>Рефлексотерапия</t>
  </si>
  <si>
    <t>31.08.48</t>
  </si>
  <si>
    <t>Скорая медицинская помощь</t>
  </si>
  <si>
    <t>31.08.49</t>
  </si>
  <si>
    <t>Терапия</t>
  </si>
  <si>
    <t>31.08.50</t>
  </si>
  <si>
    <t>Физиотерапия</t>
  </si>
  <si>
    <t>31.08.51</t>
  </si>
  <si>
    <t>Фтизиатрия</t>
  </si>
  <si>
    <t>31.08.52</t>
  </si>
  <si>
    <t>Остеопатия</t>
  </si>
  <si>
    <t>31.08.53</t>
  </si>
  <si>
    <t>Эндокринология</t>
  </si>
  <si>
    <t>31.08.54</t>
  </si>
  <si>
    <t>Общая врачебная практика (семейная медицина)</t>
  </si>
  <si>
    <t>31.08.55</t>
  </si>
  <si>
    <t>Колопроктология</t>
  </si>
  <si>
    <t>31.08.56</t>
  </si>
  <si>
    <t>Нейрохирургия</t>
  </si>
  <si>
    <t>31.08.57</t>
  </si>
  <si>
    <t>Онкология</t>
  </si>
  <si>
    <t>31.08.58</t>
  </si>
  <si>
    <t>Оториноларингология</t>
  </si>
  <si>
    <t>31.08.59</t>
  </si>
  <si>
    <t>Офтальмология</t>
  </si>
  <si>
    <t>31.08.60</t>
  </si>
  <si>
    <t>Пластическая хирургия</t>
  </si>
  <si>
    <t>31.08.61</t>
  </si>
  <si>
    <t>Радиотерапия</t>
  </si>
  <si>
    <t>31.08.62</t>
  </si>
  <si>
    <t>Рентгенэндоваскулярные диагностика и лечение</t>
  </si>
  <si>
    <t>31.08.63</t>
  </si>
  <si>
    <t>Сердечно-сосудистая хирургия</t>
  </si>
  <si>
    <t>31.08.64</t>
  </si>
  <si>
    <t>Сурдология-оториноларингология</t>
  </si>
  <si>
    <t>31.08.65</t>
  </si>
  <si>
    <t>Торакальная хирургия</t>
  </si>
  <si>
    <t>31.08.66</t>
  </si>
  <si>
    <t>Травматология и ортопедия</t>
  </si>
  <si>
    <t>31.08.67</t>
  </si>
  <si>
    <t>Хирургия</t>
  </si>
  <si>
    <t>31.08.68</t>
  </si>
  <si>
    <t>Урология</t>
  </si>
  <si>
    <t>31.08.69</t>
  </si>
  <si>
    <t>Челюстно-лицевая хирургия</t>
  </si>
  <si>
    <t>31.08.70</t>
  </si>
  <si>
    <t>Эндоскопия</t>
  </si>
  <si>
    <t>31.08.71</t>
  </si>
  <si>
    <t>Организация здравоохранения и общественное здоровье</t>
  </si>
  <si>
    <t>31.08.72</t>
  </si>
  <si>
    <t>Стоматология общей практики</t>
  </si>
  <si>
    <t>31.08.73</t>
  </si>
  <si>
    <t>Стоматология терапевтическая</t>
  </si>
  <si>
    <t>31.08.74</t>
  </si>
  <si>
    <t>Стоматология хирургическая</t>
  </si>
  <si>
    <t>31.08.75</t>
  </si>
  <si>
    <t>Стоматология ортопедическая</t>
  </si>
  <si>
    <t>31.08.76</t>
  </si>
  <si>
    <t>Стоматология детская</t>
  </si>
  <si>
    <t>31.08.77</t>
  </si>
  <si>
    <t>Ортодонтия</t>
  </si>
  <si>
    <t>35.00.00</t>
  </si>
  <si>
    <t>СЕЛЬСКОЕ, ЛЕСНОЕ И РЫБНОЕ ХОЗЯЙСТВО</t>
  </si>
  <si>
    <t>35.02.03</t>
  </si>
  <si>
    <t>Технология деревообработки</t>
  </si>
  <si>
    <t>35.02.12</t>
  </si>
  <si>
    <t>Садово-парковое и ландшафтное строительство</t>
  </si>
  <si>
    <t>35.03.01</t>
  </si>
  <si>
    <t>Лесное дело</t>
  </si>
  <si>
    <t>35.03.03</t>
  </si>
  <si>
    <t>Агрохимия и агропочвоведение</t>
  </si>
  <si>
    <t>35.03.04</t>
  </si>
  <si>
    <t>Агрономия</t>
  </si>
  <si>
    <t>35.03.07</t>
  </si>
  <si>
    <t>Технология производства и переработки сельскохозяйственной продукции</t>
  </si>
  <si>
    <t>35.04.06</t>
  </si>
  <si>
    <t>Агроинженерия</t>
  </si>
  <si>
    <t>37.00.00</t>
  </si>
  <si>
    <t>ПСИХОЛОГИЧЕСКИЕ НАУКИ</t>
  </si>
  <si>
    <t>37.03.01</t>
  </si>
  <si>
    <t>Психология</t>
  </si>
  <si>
    <t>37.03.02</t>
  </si>
  <si>
    <t>Конфликтология</t>
  </si>
  <si>
    <t>37.04.02</t>
  </si>
  <si>
    <t>37.05.02</t>
  </si>
  <si>
    <t>Психология служебной деятельности</t>
  </si>
  <si>
    <t>38.00.00</t>
  </si>
  <si>
    <t>ЭКОНОМИКА И УПРАВЛЕНИЕ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</si>
  <si>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</si>
  <si>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</si>
  <si>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</si>
  <si>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</si>
  <si>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Экономика и бухгалтерский учет (по отраслям)</t>
  </si>
  <si>
    <t>Страховое дело (по отраслям)</t>
  </si>
  <si>
    <t>38.02.03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</si>
  <si>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</si>
  <si>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</si>
  <si>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</si>
  <si>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</si>
  <si>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</si>
  <si>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</si>
  <si>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</si>
  <si>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</si>
  <si>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</si>
  <si>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</si>
  <si>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</si>
  <si>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</si>
  <si>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38.03.05</t>
  </si>
  <si>
    <t>Бизнес-информатика</t>
  </si>
  <si>
    <t>Торговое дело</t>
  </si>
  <si>
    <t>Товароведение</t>
  </si>
  <si>
    <t>38.03.10</t>
  </si>
  <si>
    <t>Жилищное хозяйство и коммунальная инфраструктура</t>
  </si>
  <si>
    <t>38.04.02</t>
  </si>
  <si>
    <t>38.04.03</t>
  </si>
  <si>
    <t>38.04.04</t>
  </si>
  <si>
    <t>38.04.05</t>
  </si>
  <si>
    <t>38.04.06</t>
  </si>
  <si>
    <t>38.04.08</t>
  </si>
  <si>
    <t>Финансы и кредит</t>
  </si>
  <si>
    <t>38.04.09</t>
  </si>
  <si>
    <t>Государственный аудит</t>
  </si>
  <si>
    <t>38.05.01</t>
  </si>
  <si>
    <t>Экономическая безопасность</t>
  </si>
  <si>
    <t>38.05.02</t>
  </si>
  <si>
    <t>Таможенное дело</t>
  </si>
  <si>
    <t>38.06.01</t>
  </si>
  <si>
    <t>39.00.00</t>
  </si>
  <si>
    <t>СОЦИОЛОГИЯ И СОЦИАЛЬНАЯ РАБОТА</t>
  </si>
  <si>
    <t>39.02.01</t>
  </si>
  <si>
    <t>Социальная работа</t>
  </si>
  <si>
    <t>39.03.01</t>
  </si>
  <si>
    <t>Социология</t>
  </si>
  <si>
    <t>39.03.02</t>
  </si>
  <si>
    <t>39.03.03</t>
  </si>
  <si>
    <t>Организация работы с молодежью</t>
  </si>
  <si>
    <t>39.04.01</t>
  </si>
  <si>
    <t>39.04.02</t>
  </si>
  <si>
    <t>39.04.03</t>
  </si>
  <si>
    <t>40.00.00</t>
  </si>
  <si>
    <t>ЮРИСПРУДЕНЦИЯ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</si>
  <si>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</si>
  <si>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</si>
  <si>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</si>
  <si>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</si>
  <si>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40.03.01</t>
  </si>
  <si>
    <t>Юриспруденция</t>
  </si>
  <si>
    <t>40.04.01</t>
  </si>
  <si>
    <t>40.05.01</t>
  </si>
  <si>
    <t>Правовое обеспечение национальной безопасности</t>
  </si>
  <si>
    <t>40.05.02</t>
  </si>
  <si>
    <t>40.05.03</t>
  </si>
  <si>
    <t>Судебная экспертиза</t>
  </si>
  <si>
    <t>40.06.01</t>
  </si>
  <si>
    <t>41.00.00</t>
  </si>
  <si>
    <t>ПОЛИТИЧЕСКИЕ НАУКИ И РЕГИОНОВЕДЕНИЕ</t>
  </si>
  <si>
    <t>41.03.01</t>
  </si>
  <si>
    <t>Зарубежное регионоведение</t>
  </si>
  <si>
    <t>41.03.02</t>
  </si>
  <si>
    <t>Регионоведение России</t>
  </si>
  <si>
    <t>41.03.03</t>
  </si>
  <si>
    <t>Востоковедение и африканистика</t>
  </si>
  <si>
    <t>41.03.04</t>
  </si>
  <si>
    <t>Политология</t>
  </si>
  <si>
    <t>41.03.05</t>
  </si>
  <si>
    <t>Международные отношения</t>
  </si>
  <si>
    <t>41.03.06</t>
  </si>
  <si>
    <t>Публичная политика и социальные науки</t>
  </si>
  <si>
    <t>41.04.01</t>
  </si>
  <si>
    <t>41.04.02</t>
  </si>
  <si>
    <t>41.04.03</t>
  </si>
  <si>
    <t>41.04.04</t>
  </si>
  <si>
    <t>41.04.05</t>
  </si>
  <si>
    <t>42.00.00</t>
  </si>
  <si>
    <t>СРЕДСТВА МАССОВОЙ ИНФОРМАЦИИ И ИНФОРМАЦИОННО-БИБЛИОТЕЧНОЕ ДЕЛО</t>
  </si>
  <si>
    <t>42.01.01</t>
  </si>
  <si>
    <t>Агент рекламный</t>
  </si>
  <si>
    <t>42.02.01</t>
  </si>
  <si>
    <t>Реклама</t>
  </si>
  <si>
    <t>42.02.02</t>
  </si>
  <si>
    <t>Издательское дело</t>
  </si>
  <si>
    <t>Реклама и связи с общественностью</t>
  </si>
  <si>
    <t>42.03.02</t>
  </si>
  <si>
    <t>Журналистика</t>
  </si>
  <si>
    <t>42.03.03</t>
  </si>
  <si>
    <t>42.03.04</t>
  </si>
  <si>
    <t>Телевидение</t>
  </si>
  <si>
    <t>42.03.05</t>
  </si>
  <si>
    <t>Медиакоммуникации</t>
  </si>
  <si>
    <t>42.04.02</t>
  </si>
  <si>
    <t>42.04.03</t>
  </si>
  <si>
    <t>42.04.04</t>
  </si>
  <si>
    <t>42.04.05</t>
  </si>
  <si>
    <t>43.00.00</t>
  </si>
  <si>
    <t>СЕРВИС И ТУРИЗМ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</si>
  <si>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</si>
  <si>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</si>
  <si>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</si>
  <si>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</si>
  <si>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</si>
  <si>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</si>
  <si>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</si>
  <si>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</si>
  <si>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</si>
  <si>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</si>
  <si>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</si>
  <si>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</si>
  <si>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</si>
  <si>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</si>
  <si>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</si>
  <si>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</si>
  <si>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43.01.09</t>
  </si>
  <si>
    <t>Повар, кондитер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</si>
  <si>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</si>
  <si>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</si>
  <si>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</si>
  <si>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</si>
  <si>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</si>
  <si>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</si>
  <si>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</si>
  <si>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</si>
  <si>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</si>
  <si>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</si>
  <si>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</si>
  <si>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</si>
  <si>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</si>
  <si>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</si>
  <si>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Сервис домашнего и коммунального хозяйства</t>
  </si>
  <si>
    <t>43.02.09</t>
  </si>
  <si>
    <t>Ритуальный сервис</t>
  </si>
  <si>
    <t>Туризм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</si>
  <si>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</si>
  <si>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</si>
  <si>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</si>
  <si>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</si>
  <si>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</si>
  <si>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Гостиничное дело</t>
  </si>
  <si>
    <t>43.02.15</t>
  </si>
  <si>
    <t>Поварское и кондитерское дело</t>
  </si>
  <si>
    <t>Сервис</t>
  </si>
  <si>
    <t>43.04.01</t>
  </si>
  <si>
    <t>43.04.02</t>
  </si>
  <si>
    <t>43.04.03</t>
  </si>
  <si>
    <t>44.00.00</t>
  </si>
  <si>
    <t>ОБРАЗОВАНИЕ И ПЕДАГОГИЧЕСКИЕ НАУКИ</t>
  </si>
  <si>
    <t>44.02.01</t>
  </si>
  <si>
    <t>Дошкольное образование</t>
  </si>
  <si>
    <t>44.03.01</t>
  </si>
  <si>
    <t>Педагогическое образование</t>
  </si>
  <si>
    <t>44.03.02</t>
  </si>
  <si>
    <t>Психолого-педагогическое образование</t>
  </si>
  <si>
    <t>44.03.05</t>
  </si>
  <si>
    <t>Педагогическое образование (с двумя профилями подготовки)</t>
  </si>
  <si>
    <t>45.00.00</t>
  </si>
  <si>
    <t>ЯЗЫКОЗНАНИЕ И ЛИТЕРАТУРОВЕДЕНИЕ</t>
  </si>
  <si>
    <t>45.03.01</t>
  </si>
  <si>
    <t>Филология</t>
  </si>
  <si>
    <t>45.03.02</t>
  </si>
  <si>
    <t>Лингвистика</t>
  </si>
  <si>
    <t>45.04.02</t>
  </si>
  <si>
    <t>46.00.00</t>
  </si>
  <si>
    <t>ИСТОРИЯ И АРХЕОЛОГИЯ</t>
  </si>
  <si>
    <t>46.01.03</t>
  </si>
  <si>
    <t>Делопроизводитель</t>
  </si>
  <si>
    <t>46.03.01</t>
  </si>
  <si>
    <t>История</t>
  </si>
  <si>
    <t>46.04.01</t>
  </si>
  <si>
    <t>49.00.00</t>
  </si>
  <si>
    <t>ФИЗИЧЕСКАЯ КУЛЬТУРА И СПОРТ</t>
  </si>
  <si>
    <t>Рекреация и спортивно-оздоровительный туризм</t>
  </si>
  <si>
    <t>50.00.00</t>
  </si>
  <si>
    <t>ИСКУССТВОЗНАНИЕ</t>
  </si>
  <si>
    <t>50.03.04</t>
  </si>
  <si>
    <t>Теория и история искусств</t>
  </si>
  <si>
    <t>50.04.04</t>
  </si>
  <si>
    <t>51.00.00</t>
  </si>
  <si>
    <t>КУЛЬТУРОВЕДЕНИЕ И СОЦИОКУЛЬТУРНЫЕ ПРОЕКТЫ</t>
  </si>
  <si>
    <t>51.03.01</t>
  </si>
  <si>
    <t>Культурология</t>
  </si>
  <si>
    <t>51.03.02</t>
  </si>
  <si>
    <t>Народная художественная культура</t>
  </si>
  <si>
    <t>51.03.03</t>
  </si>
  <si>
    <t>Социально-культурная деятельность</t>
  </si>
  <si>
    <t>51.03.04</t>
  </si>
  <si>
    <t>Музеология и охрана объектов культурного и природного наследия</t>
  </si>
  <si>
    <t>51.04.01</t>
  </si>
  <si>
    <t>51.04.04</t>
  </si>
  <si>
    <t>52.00.00</t>
  </si>
  <si>
    <t>СЦЕНИЧЕСКИЕ ИСКУССТВА И ЛИТЕРАТУРНОЕ ТВОРЧЕСТВО</t>
  </si>
  <si>
    <t>52.03.01</t>
  </si>
  <si>
    <t>Хореографическое искусство</t>
  </si>
  <si>
    <t>53.00.00</t>
  </si>
  <si>
    <t>МУЗЫКАЛЬНОЕ ИСКУССТВО</t>
  </si>
  <si>
    <t>53.03.06</t>
  </si>
  <si>
    <t>Музыкознание и музыкально-прикладное искусство</t>
  </si>
  <si>
    <t>53.04.06</t>
  </si>
  <si>
    <t>54.00.00</t>
  </si>
  <si>
    <t>ИЗОБРАЗИТЕЛЬНОЕ И ПРИКЛАДНЫЕ ВИДЫ ИСКУССТВ</t>
  </si>
  <si>
    <t>54.01.20</t>
  </si>
  <si>
    <t>Графический дизайнер</t>
  </si>
  <si>
    <t>54.02.01</t>
  </si>
  <si>
    <t>Дизайн (по отраслям)</t>
  </si>
  <si>
    <t>54.03.01</t>
  </si>
  <si>
    <t>Дизайн</t>
  </si>
  <si>
    <t>54.03.03</t>
  </si>
  <si>
    <t>Искусство костюма и текстиля</t>
  </si>
  <si>
    <t>55.00.00</t>
  </si>
  <si>
    <t>ЭКРАННЫЕ ИСКУССТВА</t>
  </si>
  <si>
    <t>55.05.04</t>
  </si>
  <si>
    <t>Продюсерство</t>
  </si>
  <si>
    <t>56.00.00</t>
  </si>
  <si>
    <t>ОБОРОНА И БЕЗОПАСНОСТЬ ГОСУДАРСТВА. ВОЕННЫЕ НАУКИ</t>
  </si>
  <si>
    <t>56.05.01</t>
  </si>
  <si>
    <t>Тыловое обеспечение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</si>
</sst>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2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b/>
      <sz val="12"/>
      <name val="Arial"/>
      <family val="2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1" xfId="1" applyBorder="1" applyAlignment="1" applyProtection="1">
      <alignment horizontal="left" wrapText="1"/>
    </xf>
    <xf numFmtId="0" fontId="11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A852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</cols>
  <sheetData>
    <row r="1" spans="1:27" s="1" customFormat="1" ht="15" customHeight="1">
      <c r="A1" s="16" t="s">
        <v>0</v>
      </c>
      <c r="B1" s="16"/>
      <c r="C1" s="16"/>
      <c r="D1" s="16"/>
      <c r="E1" s="16"/>
      <c r="F1" s="17" t="s">
        <v>1</v>
      </c>
      <c r="G1" s="17"/>
      <c r="H1" s="17"/>
      <c r="I1" s="17"/>
      <c r="J1" s="19" t="s">
        <v>2</v>
      </c>
      <c r="K1" s="19"/>
      <c r="L1" s="19"/>
      <c r="M1" s="19"/>
      <c r="N1" s="19"/>
      <c r="O1" s="19"/>
    </row>
    <row r="2" spans="1:27" s="1" customFormat="1" ht="15" customHeight="1">
      <c r="A2" s="20" t="s">
        <v>3</v>
      </c>
      <c r="B2" s="20"/>
      <c r="C2" s="20"/>
      <c r="D2" s="20"/>
      <c r="E2" s="20"/>
      <c r="F2" s="18"/>
      <c r="G2" s="18"/>
      <c r="H2" s="18"/>
      <c r="I2" s="18"/>
      <c r="J2" s="21" t="s">
        <v>4</v>
      </c>
      <c r="K2" s="21"/>
      <c r="L2" s="21"/>
      <c r="M2" s="21"/>
      <c r="N2" s="21"/>
      <c r="O2" s="21"/>
    </row>
    <row r="3" spans="1:27" s="1" customFormat="1" ht="15" customHeight="1">
      <c r="A3" s="20" t="s">
        <v>5</v>
      </c>
      <c r="B3" s="20"/>
      <c r="C3" s="20"/>
      <c r="D3" s="20"/>
      <c r="E3" s="20"/>
      <c r="F3" s="18"/>
      <c r="G3" s="18"/>
      <c r="H3" s="18"/>
      <c r="I3" s="18"/>
      <c r="J3" s="22"/>
      <c r="K3" s="22"/>
      <c r="L3" s="22"/>
      <c r="M3" s="22"/>
      <c r="N3" s="22"/>
      <c r="O3" s="22"/>
    </row>
    <row r="4" spans="1:27" s="1" customFormat="1" ht="15" customHeight="1">
      <c r="A4" s="26" t="str">
        <f>HYPERLINK("mailto:books@infra-m.ru", "mailto:books@infra-m.ru")</f>
        <v>mailto:books@infra-m.ru</v>
      </c>
      <c r="B4" s="23"/>
      <c r="C4" s="23"/>
      <c r="D4" s="23"/>
      <c r="E4" s="23"/>
      <c r="F4" s="18"/>
      <c r="G4" s="18"/>
      <c r="H4" s="18"/>
      <c r="I4" s="18"/>
      <c r="J4" s="22"/>
      <c r="K4" s="22"/>
      <c r="L4" s="22"/>
      <c r="M4" s="22"/>
      <c r="N4" s="22"/>
      <c r="O4" s="22"/>
    </row>
    <row r="5" spans="1:27" s="1" customFormat="1" ht="15" customHeight="1">
      <c r="A5" s="26" t="str">
        <f>HYPERLINK("https://infra-m.ru", "https://infra-m.ru")</f>
        <v>https://infra-m.ru</v>
      </c>
      <c r="B5" s="23"/>
      <c r="C5" s="23"/>
      <c r="D5" s="23"/>
      <c r="E5" s="23"/>
      <c r="F5" s="18"/>
      <c r="G5" s="18"/>
      <c r="H5" s="18"/>
      <c r="I5" s="18"/>
      <c r="J5" s="22"/>
      <c r="K5" s="22"/>
      <c r="L5" s="22"/>
      <c r="M5" s="22"/>
      <c r="N5" s="22"/>
      <c r="O5" s="22"/>
    </row>
    <row r="6" spans="1:27" s="1" customFormat="1" ht="11.1" customHeight="1"/>
    <row r="7" spans="1:27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</row>
    <row r="8" spans="1:27" s="4" customFormat="1" ht="51.95" customHeight="1">
      <c r="A8" s="5">
        <v>0</v>
      </c>
      <c r="B8" s="6" t="s">
        <v>33</v>
      </c>
      <c r="C8" s="7">
        <v>780</v>
      </c>
      <c r="D8" s="8" t="s">
        <v>34</v>
      </c>
      <c r="E8" s="8" t="s">
        <v>35</v>
      </c>
      <c r="F8" s="8" t="s">
        <v>36</v>
      </c>
      <c r="G8" s="6" t="s">
        <v>37</v>
      </c>
      <c r="H8" s="6" t="s">
        <v>38</v>
      </c>
      <c r="I8" s="8" t="s">
        <v>39</v>
      </c>
      <c r="J8" s="9">
        <v>1</v>
      </c>
      <c r="K8" s="9">
        <v>143</v>
      </c>
      <c r="L8" s="9">
        <v>2024</v>
      </c>
      <c r="M8" s="8" t="s">
        <v>40</v>
      </c>
      <c r="N8" s="8" t="s">
        <v>41</v>
      </c>
      <c r="O8" s="8" t="s">
        <v>42</v>
      </c>
      <c r="P8" s="6" t="s">
        <v>43</v>
      </c>
      <c r="Q8" s="8" t="s">
        <v>44</v>
      </c>
      <c r="R8" s="10" t="s">
        <v>45</v>
      </c>
      <c r="S8" s="11"/>
      <c r="T8" s="6"/>
      <c r="U8" s="27" t="str">
        <f>HYPERLINK("https://media.infra-m.ru/2086/2086785/cover/2086785.jpg", "Обложка")</f>
        <v>Обложка</v>
      </c>
      <c r="V8" s="27" t="str">
        <f>HYPERLINK("https://znanium.com/catalog/product/2086785", "Ознакомиться")</f>
        <v>Ознакомиться</v>
      </c>
      <c r="W8" s="8" t="s">
        <v>46</v>
      </c>
      <c r="X8" s="6"/>
      <c r="Y8" s="6"/>
      <c r="Z8" s="6"/>
      <c r="AA8" s="6" t="s">
        <v>47</v>
      </c>
    </row>
    <row r="9" spans="1:27" s="4" customFormat="1" ht="51.95" customHeight="1">
      <c r="A9" s="5">
        <v>0</v>
      </c>
      <c r="B9" s="6" t="s">
        <v>48</v>
      </c>
      <c r="C9" s="13">
        <v>1370</v>
      </c>
      <c r="D9" s="8" t="s">
        <v>49</v>
      </c>
      <c r="E9" s="8" t="s">
        <v>50</v>
      </c>
      <c r="F9" s="8" t="s">
        <v>51</v>
      </c>
      <c r="G9" s="6" t="s">
        <v>37</v>
      </c>
      <c r="H9" s="6" t="s">
        <v>52</v>
      </c>
      <c r="I9" s="8" t="s">
        <v>53</v>
      </c>
      <c r="J9" s="9">
        <v>1</v>
      </c>
      <c r="K9" s="9">
        <v>298</v>
      </c>
      <c r="L9" s="9">
        <v>2024</v>
      </c>
      <c r="M9" s="8" t="s">
        <v>54</v>
      </c>
      <c r="N9" s="8" t="s">
        <v>41</v>
      </c>
      <c r="O9" s="8" t="s">
        <v>42</v>
      </c>
      <c r="P9" s="6" t="s">
        <v>55</v>
      </c>
      <c r="Q9" s="8" t="s">
        <v>56</v>
      </c>
      <c r="R9" s="10" t="s">
        <v>57</v>
      </c>
      <c r="S9" s="11" t="s">
        <v>58</v>
      </c>
      <c r="T9" s="6" t="s">
        <v>59</v>
      </c>
      <c r="U9" s="27" t="str">
        <f>HYPERLINK("https://media.infra-m.ru/2094/2094304/cover/2094304.jpg", "Обложка")</f>
        <v>Обложка</v>
      </c>
      <c r="V9" s="27" t="str">
        <f>HYPERLINK("https://znanium.com/catalog/product/2094304", "Ознакомиться")</f>
        <v>Ознакомиться</v>
      </c>
      <c r="W9" s="8" t="s">
        <v>46</v>
      </c>
      <c r="X9" s="6"/>
      <c r="Y9" s="6"/>
      <c r="Z9" s="6" t="s">
        <v>60</v>
      </c>
      <c r="AA9" s="6" t="s">
        <v>61</v>
      </c>
    </row>
    <row r="10" spans="1:27" s="4" customFormat="1" ht="51.95" customHeight="1">
      <c r="A10" s="5">
        <v>0</v>
      </c>
      <c r="B10" s="6" t="s">
        <v>62</v>
      </c>
      <c r="C10" s="13">
        <v>1080</v>
      </c>
      <c r="D10" s="8" t="s">
        <v>63</v>
      </c>
      <c r="E10" s="8" t="s">
        <v>64</v>
      </c>
      <c r="F10" s="8" t="s">
        <v>65</v>
      </c>
      <c r="G10" s="6" t="s">
        <v>37</v>
      </c>
      <c r="H10" s="6" t="s">
        <v>52</v>
      </c>
      <c r="I10" s="8" t="s">
        <v>53</v>
      </c>
      <c r="J10" s="9">
        <v>1</v>
      </c>
      <c r="K10" s="9">
        <v>238</v>
      </c>
      <c r="L10" s="9">
        <v>2023</v>
      </c>
      <c r="M10" s="8" t="s">
        <v>66</v>
      </c>
      <c r="N10" s="8" t="s">
        <v>41</v>
      </c>
      <c r="O10" s="8" t="s">
        <v>42</v>
      </c>
      <c r="P10" s="6" t="s">
        <v>43</v>
      </c>
      <c r="Q10" s="8" t="s">
        <v>56</v>
      </c>
      <c r="R10" s="10" t="s">
        <v>67</v>
      </c>
      <c r="S10" s="11" t="s">
        <v>68</v>
      </c>
      <c r="T10" s="6"/>
      <c r="U10" s="27" t="str">
        <f>HYPERLINK("https://media.infra-m.ru/1904/1904849/cover/1904849.jpg", "Обложка")</f>
        <v>Обложка</v>
      </c>
      <c r="V10" s="27" t="str">
        <f>HYPERLINK("https://znanium.com/catalog/product/1904849", "Ознакомиться")</f>
        <v>Ознакомиться</v>
      </c>
      <c r="W10" s="8" t="s">
        <v>69</v>
      </c>
      <c r="X10" s="6"/>
      <c r="Y10" s="6"/>
      <c r="Z10" s="6" t="s">
        <v>60</v>
      </c>
      <c r="AA10" s="6" t="s">
        <v>70</v>
      </c>
    </row>
    <row r="11" spans="1:27" s="4" customFormat="1" ht="51.95" customHeight="1">
      <c r="A11" s="5">
        <v>0</v>
      </c>
      <c r="B11" s="6" t="s">
        <v>71</v>
      </c>
      <c r="C11" s="13">
        <v>1080</v>
      </c>
      <c r="D11" s="8" t="s">
        <v>72</v>
      </c>
      <c r="E11" s="8" t="s">
        <v>64</v>
      </c>
      <c r="F11" s="8" t="s">
        <v>65</v>
      </c>
      <c r="G11" s="6" t="s">
        <v>37</v>
      </c>
      <c r="H11" s="6" t="s">
        <v>52</v>
      </c>
      <c r="I11" s="8" t="s">
        <v>73</v>
      </c>
      <c r="J11" s="9">
        <v>1</v>
      </c>
      <c r="K11" s="9">
        <v>238</v>
      </c>
      <c r="L11" s="9">
        <v>2023</v>
      </c>
      <c r="M11" s="8" t="s">
        <v>74</v>
      </c>
      <c r="N11" s="8" t="s">
        <v>41</v>
      </c>
      <c r="O11" s="8" t="s">
        <v>42</v>
      </c>
      <c r="P11" s="6" t="s">
        <v>43</v>
      </c>
      <c r="Q11" s="8" t="s">
        <v>75</v>
      </c>
      <c r="R11" s="10" t="s">
        <v>76</v>
      </c>
      <c r="S11" s="11" t="s">
        <v>77</v>
      </c>
      <c r="T11" s="6"/>
      <c r="U11" s="27" t="str">
        <f>HYPERLINK("https://media.infra-m.ru/1987/1987479/cover/1987479.jpg", "Обложка")</f>
        <v>Обложка</v>
      </c>
      <c r="V11" s="27" t="str">
        <f>HYPERLINK("https://znanium.com/catalog/product/1987479", "Ознакомиться")</f>
        <v>Ознакомиться</v>
      </c>
      <c r="W11" s="8" t="s">
        <v>69</v>
      </c>
      <c r="X11" s="6"/>
      <c r="Y11" s="6"/>
      <c r="Z11" s="6"/>
      <c r="AA11" s="6" t="s">
        <v>78</v>
      </c>
    </row>
    <row r="12" spans="1:27" s="4" customFormat="1" ht="51.95" customHeight="1">
      <c r="A12" s="5">
        <v>0</v>
      </c>
      <c r="B12" s="6" t="s">
        <v>79</v>
      </c>
      <c r="C12" s="13">
        <v>1654</v>
      </c>
      <c r="D12" s="8" t="s">
        <v>80</v>
      </c>
      <c r="E12" s="8" t="s">
        <v>81</v>
      </c>
      <c r="F12" s="8" t="s">
        <v>82</v>
      </c>
      <c r="G12" s="6" t="s">
        <v>37</v>
      </c>
      <c r="H12" s="6" t="s">
        <v>38</v>
      </c>
      <c r="I12" s="8" t="s">
        <v>73</v>
      </c>
      <c r="J12" s="9">
        <v>1</v>
      </c>
      <c r="K12" s="9">
        <v>360</v>
      </c>
      <c r="L12" s="9">
        <v>2024</v>
      </c>
      <c r="M12" s="8" t="s">
        <v>83</v>
      </c>
      <c r="N12" s="8" t="s">
        <v>41</v>
      </c>
      <c r="O12" s="8" t="s">
        <v>42</v>
      </c>
      <c r="P12" s="6" t="s">
        <v>55</v>
      </c>
      <c r="Q12" s="8" t="s">
        <v>75</v>
      </c>
      <c r="R12" s="10" t="s">
        <v>84</v>
      </c>
      <c r="S12" s="11" t="s">
        <v>85</v>
      </c>
      <c r="T12" s="6"/>
      <c r="U12" s="27" t="str">
        <f>HYPERLINK("https://media.infra-m.ru/2091/2091925/cover/2091925.jpg", "Обложка")</f>
        <v>Обложка</v>
      </c>
      <c r="V12" s="27" t="str">
        <f>HYPERLINK("https://znanium.com/catalog/product/1375902", "Ознакомиться")</f>
        <v>Ознакомиться</v>
      </c>
      <c r="W12" s="8" t="s">
        <v>86</v>
      </c>
      <c r="X12" s="6"/>
      <c r="Y12" s="6"/>
      <c r="Z12" s="6"/>
      <c r="AA12" s="6" t="s">
        <v>87</v>
      </c>
    </row>
    <row r="13" spans="1:27" s="4" customFormat="1" ht="44.1" customHeight="1">
      <c r="A13" s="5">
        <v>0</v>
      </c>
      <c r="B13" s="6" t="s">
        <v>88</v>
      </c>
      <c r="C13" s="13">
        <v>2044</v>
      </c>
      <c r="D13" s="8" t="s">
        <v>89</v>
      </c>
      <c r="E13" s="8" t="s">
        <v>90</v>
      </c>
      <c r="F13" s="8" t="s">
        <v>91</v>
      </c>
      <c r="G13" s="6" t="s">
        <v>92</v>
      </c>
      <c r="H13" s="6" t="s">
        <v>93</v>
      </c>
      <c r="I13" s="8"/>
      <c r="J13" s="9">
        <v>1</v>
      </c>
      <c r="K13" s="9">
        <v>462</v>
      </c>
      <c r="L13" s="9">
        <v>2024</v>
      </c>
      <c r="M13" s="8" t="s">
        <v>94</v>
      </c>
      <c r="N13" s="8" t="s">
        <v>41</v>
      </c>
      <c r="O13" s="8" t="s">
        <v>42</v>
      </c>
      <c r="P13" s="6" t="s">
        <v>95</v>
      </c>
      <c r="Q13" s="8" t="s">
        <v>75</v>
      </c>
      <c r="R13" s="10" t="s">
        <v>96</v>
      </c>
      <c r="S13" s="11"/>
      <c r="T13" s="6"/>
      <c r="U13" s="27" t="str">
        <f>HYPERLINK("https://media.infra-m.ru/2090/2090015/cover/2090015.jpg", "Обложка")</f>
        <v>Обложка</v>
      </c>
      <c r="V13" s="27" t="str">
        <f>HYPERLINK("https://znanium.com/catalog/product/927505", "Ознакомиться")</f>
        <v>Ознакомиться</v>
      </c>
      <c r="W13" s="8" t="s">
        <v>97</v>
      </c>
      <c r="X13" s="6"/>
      <c r="Y13" s="6"/>
      <c r="Z13" s="6"/>
      <c r="AA13" s="6" t="s">
        <v>98</v>
      </c>
    </row>
    <row r="14" spans="1:27" s="4" customFormat="1" ht="51.95" customHeight="1">
      <c r="A14" s="5">
        <v>0</v>
      </c>
      <c r="B14" s="6" t="s">
        <v>99</v>
      </c>
      <c r="C14" s="13">
        <v>1234</v>
      </c>
      <c r="D14" s="8" t="s">
        <v>100</v>
      </c>
      <c r="E14" s="8" t="s">
        <v>101</v>
      </c>
      <c r="F14" s="8" t="s">
        <v>102</v>
      </c>
      <c r="G14" s="6" t="s">
        <v>92</v>
      </c>
      <c r="H14" s="6" t="s">
        <v>38</v>
      </c>
      <c r="I14" s="8" t="s">
        <v>73</v>
      </c>
      <c r="J14" s="9">
        <v>1</v>
      </c>
      <c r="K14" s="9">
        <v>267</v>
      </c>
      <c r="L14" s="9">
        <v>2024</v>
      </c>
      <c r="M14" s="8" t="s">
        <v>103</v>
      </c>
      <c r="N14" s="8" t="s">
        <v>41</v>
      </c>
      <c r="O14" s="8" t="s">
        <v>42</v>
      </c>
      <c r="P14" s="6" t="s">
        <v>43</v>
      </c>
      <c r="Q14" s="8" t="s">
        <v>75</v>
      </c>
      <c r="R14" s="10" t="s">
        <v>84</v>
      </c>
      <c r="S14" s="11" t="s">
        <v>104</v>
      </c>
      <c r="T14" s="6" t="s">
        <v>59</v>
      </c>
      <c r="U14" s="27" t="str">
        <f>HYPERLINK("https://media.infra-m.ru/2107/2107290/cover/2107290.jpg", "Обложка")</f>
        <v>Обложка</v>
      </c>
      <c r="V14" s="27" t="str">
        <f>HYPERLINK("https://znanium.com/catalog/product/1793980", "Ознакомиться")</f>
        <v>Ознакомиться</v>
      </c>
      <c r="W14" s="8" t="s">
        <v>105</v>
      </c>
      <c r="X14" s="6"/>
      <c r="Y14" s="6"/>
      <c r="Z14" s="6"/>
      <c r="AA14" s="6" t="s">
        <v>106</v>
      </c>
    </row>
    <row r="15" spans="1:27" s="4" customFormat="1" ht="51.95" customHeight="1">
      <c r="A15" s="5">
        <v>0</v>
      </c>
      <c r="B15" s="6" t="s">
        <v>107</v>
      </c>
      <c r="C15" s="13">
        <v>1330</v>
      </c>
      <c r="D15" s="8" t="s">
        <v>108</v>
      </c>
      <c r="E15" s="8" t="s">
        <v>109</v>
      </c>
      <c r="F15" s="8" t="s">
        <v>110</v>
      </c>
      <c r="G15" s="6" t="s">
        <v>37</v>
      </c>
      <c r="H15" s="6" t="s">
        <v>38</v>
      </c>
      <c r="I15" s="8" t="s">
        <v>73</v>
      </c>
      <c r="J15" s="9">
        <v>1</v>
      </c>
      <c r="K15" s="9">
        <v>288</v>
      </c>
      <c r="L15" s="9">
        <v>2023</v>
      </c>
      <c r="M15" s="8" t="s">
        <v>111</v>
      </c>
      <c r="N15" s="8" t="s">
        <v>41</v>
      </c>
      <c r="O15" s="8" t="s">
        <v>42</v>
      </c>
      <c r="P15" s="6" t="s">
        <v>43</v>
      </c>
      <c r="Q15" s="8" t="s">
        <v>75</v>
      </c>
      <c r="R15" s="10" t="s">
        <v>112</v>
      </c>
      <c r="S15" s="11" t="s">
        <v>113</v>
      </c>
      <c r="T15" s="6"/>
      <c r="U15" s="27" t="str">
        <f>HYPERLINK("https://media.infra-m.ru/1897/1897682/cover/1897682.jpg", "Обложка")</f>
        <v>Обложка</v>
      </c>
      <c r="V15" s="27" t="str">
        <f>HYPERLINK("https://znanium.com/catalog/product/1897682", "Ознакомиться")</f>
        <v>Ознакомиться</v>
      </c>
      <c r="W15" s="8" t="s">
        <v>105</v>
      </c>
      <c r="X15" s="6"/>
      <c r="Y15" s="6"/>
      <c r="Z15" s="6"/>
      <c r="AA15" s="6" t="s">
        <v>114</v>
      </c>
    </row>
    <row r="16" spans="1:27" s="4" customFormat="1" ht="44.1" customHeight="1">
      <c r="A16" s="5">
        <v>0</v>
      </c>
      <c r="B16" s="6" t="s">
        <v>115</v>
      </c>
      <c r="C16" s="7">
        <v>690</v>
      </c>
      <c r="D16" s="8" t="s">
        <v>116</v>
      </c>
      <c r="E16" s="8" t="s">
        <v>117</v>
      </c>
      <c r="F16" s="8" t="s">
        <v>118</v>
      </c>
      <c r="G16" s="6" t="s">
        <v>119</v>
      </c>
      <c r="H16" s="6" t="s">
        <v>38</v>
      </c>
      <c r="I16" s="8" t="s">
        <v>120</v>
      </c>
      <c r="J16" s="9">
        <v>1</v>
      </c>
      <c r="K16" s="9">
        <v>195</v>
      </c>
      <c r="L16" s="9">
        <v>2019</v>
      </c>
      <c r="M16" s="8" t="s">
        <v>121</v>
      </c>
      <c r="N16" s="8" t="s">
        <v>41</v>
      </c>
      <c r="O16" s="8" t="s">
        <v>42</v>
      </c>
      <c r="P16" s="6" t="s">
        <v>122</v>
      </c>
      <c r="Q16" s="8" t="s">
        <v>123</v>
      </c>
      <c r="R16" s="10" t="s">
        <v>124</v>
      </c>
      <c r="S16" s="11"/>
      <c r="T16" s="6"/>
      <c r="U16" s="27" t="str">
        <f>HYPERLINK("https://media.infra-m.ru/1018/1018873/cover/1018873.jpg", "Обложка")</f>
        <v>Обложка</v>
      </c>
      <c r="V16" s="27" t="str">
        <f>HYPERLINK("https://znanium.com/catalog/product/1018873", "Ознакомиться")</f>
        <v>Ознакомиться</v>
      </c>
      <c r="W16" s="8" t="s">
        <v>125</v>
      </c>
      <c r="X16" s="6"/>
      <c r="Y16" s="6"/>
      <c r="Z16" s="6"/>
      <c r="AA16" s="6" t="s">
        <v>126</v>
      </c>
    </row>
    <row r="17" spans="1:27" s="4" customFormat="1" ht="51.95" customHeight="1">
      <c r="A17" s="5">
        <v>0</v>
      </c>
      <c r="B17" s="6" t="s">
        <v>127</v>
      </c>
      <c r="C17" s="13">
        <v>1254</v>
      </c>
      <c r="D17" s="8" t="s">
        <v>128</v>
      </c>
      <c r="E17" s="8" t="s">
        <v>129</v>
      </c>
      <c r="F17" s="8" t="s">
        <v>130</v>
      </c>
      <c r="G17" s="6" t="s">
        <v>92</v>
      </c>
      <c r="H17" s="6" t="s">
        <v>131</v>
      </c>
      <c r="I17" s="8" t="s">
        <v>132</v>
      </c>
      <c r="J17" s="9">
        <v>1</v>
      </c>
      <c r="K17" s="9">
        <v>272</v>
      </c>
      <c r="L17" s="9">
        <v>2024</v>
      </c>
      <c r="M17" s="8" t="s">
        <v>133</v>
      </c>
      <c r="N17" s="8" t="s">
        <v>41</v>
      </c>
      <c r="O17" s="8" t="s">
        <v>42</v>
      </c>
      <c r="P17" s="6" t="s">
        <v>43</v>
      </c>
      <c r="Q17" s="8" t="s">
        <v>75</v>
      </c>
      <c r="R17" s="10" t="s">
        <v>134</v>
      </c>
      <c r="S17" s="11" t="s">
        <v>135</v>
      </c>
      <c r="T17" s="6"/>
      <c r="U17" s="27" t="str">
        <f>HYPERLINK("https://media.infra-m.ru/1855/1855792/cover/1855792.jpg", "Обложка")</f>
        <v>Обложка</v>
      </c>
      <c r="V17" s="27" t="str">
        <f>HYPERLINK("https://znanium.com/catalog/product/968744", "Ознакомиться")</f>
        <v>Ознакомиться</v>
      </c>
      <c r="W17" s="8"/>
      <c r="X17" s="6"/>
      <c r="Y17" s="6"/>
      <c r="Z17" s="6"/>
      <c r="AA17" s="6" t="s">
        <v>47</v>
      </c>
    </row>
    <row r="18" spans="1:27" s="4" customFormat="1" ht="51.95" customHeight="1">
      <c r="A18" s="5">
        <v>0</v>
      </c>
      <c r="B18" s="6" t="s">
        <v>136</v>
      </c>
      <c r="C18" s="13">
        <v>1140</v>
      </c>
      <c r="D18" s="8" t="s">
        <v>137</v>
      </c>
      <c r="E18" s="8" t="s">
        <v>129</v>
      </c>
      <c r="F18" s="8" t="s">
        <v>138</v>
      </c>
      <c r="G18" s="6" t="s">
        <v>37</v>
      </c>
      <c r="H18" s="6" t="s">
        <v>38</v>
      </c>
      <c r="I18" s="8" t="s">
        <v>53</v>
      </c>
      <c r="J18" s="9">
        <v>1</v>
      </c>
      <c r="K18" s="9">
        <v>272</v>
      </c>
      <c r="L18" s="9">
        <v>2022</v>
      </c>
      <c r="M18" s="8" t="s">
        <v>139</v>
      </c>
      <c r="N18" s="8" t="s">
        <v>41</v>
      </c>
      <c r="O18" s="8" t="s">
        <v>42</v>
      </c>
      <c r="P18" s="6" t="s">
        <v>43</v>
      </c>
      <c r="Q18" s="8" t="s">
        <v>56</v>
      </c>
      <c r="R18" s="10" t="s">
        <v>140</v>
      </c>
      <c r="S18" s="11" t="s">
        <v>141</v>
      </c>
      <c r="T18" s="6"/>
      <c r="U18" s="27" t="str">
        <f>HYPERLINK("https://media.infra-m.ru/1876/1876328/cover/1876328.jpg", "Обложка")</f>
        <v>Обложка</v>
      </c>
      <c r="V18" s="27" t="str">
        <f>HYPERLINK("https://znanium.com/catalog/product/1876328", "Ознакомиться")</f>
        <v>Ознакомиться</v>
      </c>
      <c r="W18" s="8"/>
      <c r="X18" s="6"/>
      <c r="Y18" s="6"/>
      <c r="Z18" s="6" t="s">
        <v>60</v>
      </c>
      <c r="AA18" s="6" t="s">
        <v>126</v>
      </c>
    </row>
    <row r="19" spans="1:27" s="4" customFormat="1" ht="51.95" customHeight="1">
      <c r="A19" s="5">
        <v>0</v>
      </c>
      <c r="B19" s="6" t="s">
        <v>142</v>
      </c>
      <c r="C19" s="13">
        <v>1274.9000000000001</v>
      </c>
      <c r="D19" s="8" t="s">
        <v>143</v>
      </c>
      <c r="E19" s="8" t="s">
        <v>144</v>
      </c>
      <c r="F19" s="8" t="s">
        <v>145</v>
      </c>
      <c r="G19" s="6" t="s">
        <v>92</v>
      </c>
      <c r="H19" s="6" t="s">
        <v>131</v>
      </c>
      <c r="I19" s="8" t="s">
        <v>132</v>
      </c>
      <c r="J19" s="9">
        <v>1</v>
      </c>
      <c r="K19" s="9">
        <v>336</v>
      </c>
      <c r="L19" s="9">
        <v>2022</v>
      </c>
      <c r="M19" s="8" t="s">
        <v>146</v>
      </c>
      <c r="N19" s="8" t="s">
        <v>41</v>
      </c>
      <c r="O19" s="8" t="s">
        <v>42</v>
      </c>
      <c r="P19" s="6" t="s">
        <v>43</v>
      </c>
      <c r="Q19" s="8" t="s">
        <v>75</v>
      </c>
      <c r="R19" s="10" t="s">
        <v>147</v>
      </c>
      <c r="S19" s="11" t="s">
        <v>148</v>
      </c>
      <c r="T19" s="6"/>
      <c r="U19" s="27" t="str">
        <f>HYPERLINK("https://media.infra-m.ru/1843/1843593/cover/1843593.jpg", "Обложка")</f>
        <v>Обложка</v>
      </c>
      <c r="V19" s="27" t="str">
        <f>HYPERLINK("https://znanium.com/catalog/product/1843593", "Ознакомиться")</f>
        <v>Ознакомиться</v>
      </c>
      <c r="W19" s="8" t="s">
        <v>149</v>
      </c>
      <c r="X19" s="6"/>
      <c r="Y19" s="6"/>
      <c r="Z19" s="6"/>
      <c r="AA19" s="6" t="s">
        <v>150</v>
      </c>
    </row>
    <row r="20" spans="1:27" s="4" customFormat="1" ht="51.95" customHeight="1">
      <c r="A20" s="5">
        <v>0</v>
      </c>
      <c r="B20" s="6" t="s">
        <v>151</v>
      </c>
      <c r="C20" s="13">
        <v>1134.9000000000001</v>
      </c>
      <c r="D20" s="8" t="s">
        <v>152</v>
      </c>
      <c r="E20" s="8" t="s">
        <v>144</v>
      </c>
      <c r="F20" s="8" t="s">
        <v>153</v>
      </c>
      <c r="G20" s="6" t="s">
        <v>92</v>
      </c>
      <c r="H20" s="6" t="s">
        <v>131</v>
      </c>
      <c r="I20" s="8" t="s">
        <v>53</v>
      </c>
      <c r="J20" s="9">
        <v>1</v>
      </c>
      <c r="K20" s="9">
        <v>335</v>
      </c>
      <c r="L20" s="9">
        <v>2020</v>
      </c>
      <c r="M20" s="8" t="s">
        <v>154</v>
      </c>
      <c r="N20" s="8" t="s">
        <v>41</v>
      </c>
      <c r="O20" s="8" t="s">
        <v>42</v>
      </c>
      <c r="P20" s="6" t="s">
        <v>43</v>
      </c>
      <c r="Q20" s="8" t="s">
        <v>56</v>
      </c>
      <c r="R20" s="10" t="s">
        <v>155</v>
      </c>
      <c r="S20" s="11" t="s">
        <v>156</v>
      </c>
      <c r="T20" s="6"/>
      <c r="U20" s="27" t="str">
        <f>HYPERLINK("https://media.infra-m.ru/1044/1044555/cover/1044555.jpg", "Обложка")</f>
        <v>Обложка</v>
      </c>
      <c r="V20" s="27" t="str">
        <f>HYPERLINK("https://znanium.com/catalog/product/960105", "Ознакомиться")</f>
        <v>Ознакомиться</v>
      </c>
      <c r="W20" s="8" t="s">
        <v>149</v>
      </c>
      <c r="X20" s="6"/>
      <c r="Y20" s="6"/>
      <c r="Z20" s="6" t="s">
        <v>60</v>
      </c>
      <c r="AA20" s="6" t="s">
        <v>61</v>
      </c>
    </row>
    <row r="21" spans="1:27" s="4" customFormat="1" ht="51.95" customHeight="1">
      <c r="A21" s="5">
        <v>0</v>
      </c>
      <c r="B21" s="6" t="s">
        <v>157</v>
      </c>
      <c r="C21" s="7">
        <v>794.9</v>
      </c>
      <c r="D21" s="8" t="s">
        <v>158</v>
      </c>
      <c r="E21" s="8" t="s">
        <v>159</v>
      </c>
      <c r="F21" s="8" t="s">
        <v>160</v>
      </c>
      <c r="G21" s="6" t="s">
        <v>119</v>
      </c>
      <c r="H21" s="6" t="s">
        <v>161</v>
      </c>
      <c r="I21" s="8" t="s">
        <v>132</v>
      </c>
      <c r="J21" s="9">
        <v>1</v>
      </c>
      <c r="K21" s="9">
        <v>175</v>
      </c>
      <c r="L21" s="9">
        <v>2023</v>
      </c>
      <c r="M21" s="8" t="s">
        <v>162</v>
      </c>
      <c r="N21" s="8" t="s">
        <v>41</v>
      </c>
      <c r="O21" s="8" t="s">
        <v>42</v>
      </c>
      <c r="P21" s="6" t="s">
        <v>43</v>
      </c>
      <c r="Q21" s="8" t="s">
        <v>75</v>
      </c>
      <c r="R21" s="10" t="s">
        <v>163</v>
      </c>
      <c r="S21" s="11" t="s">
        <v>164</v>
      </c>
      <c r="T21" s="6"/>
      <c r="U21" s="27" t="str">
        <f>HYPERLINK("https://media.infra-m.ru/1937/1937957/cover/1937957.jpg", "Обложка")</f>
        <v>Обложка</v>
      </c>
      <c r="V21" s="12"/>
      <c r="W21" s="8" t="s">
        <v>165</v>
      </c>
      <c r="X21" s="6"/>
      <c r="Y21" s="6"/>
      <c r="Z21" s="6"/>
      <c r="AA21" s="6" t="s">
        <v>166</v>
      </c>
    </row>
    <row r="22" spans="1:27" s="4" customFormat="1" ht="51.95" customHeight="1">
      <c r="A22" s="5">
        <v>0</v>
      </c>
      <c r="B22" s="6" t="s">
        <v>167</v>
      </c>
      <c r="C22" s="7">
        <v>784.9</v>
      </c>
      <c r="D22" s="8" t="s">
        <v>168</v>
      </c>
      <c r="E22" s="8" t="s">
        <v>159</v>
      </c>
      <c r="F22" s="8" t="s">
        <v>169</v>
      </c>
      <c r="G22" s="6" t="s">
        <v>92</v>
      </c>
      <c r="H22" s="6" t="s">
        <v>161</v>
      </c>
      <c r="I22" s="8" t="s">
        <v>53</v>
      </c>
      <c r="J22" s="9">
        <v>1</v>
      </c>
      <c r="K22" s="9">
        <v>175</v>
      </c>
      <c r="L22" s="9">
        <v>2023</v>
      </c>
      <c r="M22" s="8" t="s">
        <v>170</v>
      </c>
      <c r="N22" s="8" t="s">
        <v>41</v>
      </c>
      <c r="O22" s="8" t="s">
        <v>42</v>
      </c>
      <c r="P22" s="6" t="s">
        <v>43</v>
      </c>
      <c r="Q22" s="8" t="s">
        <v>56</v>
      </c>
      <c r="R22" s="10" t="s">
        <v>163</v>
      </c>
      <c r="S22" s="11" t="s">
        <v>171</v>
      </c>
      <c r="T22" s="6"/>
      <c r="U22" s="27" t="str">
        <f>HYPERLINK("https://media.infra-m.ru/1965/1965748/cover/1965748.jpg", "Обложка")</f>
        <v>Обложка</v>
      </c>
      <c r="V22" s="27" t="str">
        <f>HYPERLINK("https://znanium.com/catalog/product/1668634", "Ознакомиться")</f>
        <v>Ознакомиться</v>
      </c>
      <c r="W22" s="8" t="s">
        <v>165</v>
      </c>
      <c r="X22" s="6"/>
      <c r="Y22" s="6"/>
      <c r="Z22" s="6" t="s">
        <v>60</v>
      </c>
      <c r="AA22" s="6" t="s">
        <v>172</v>
      </c>
    </row>
    <row r="23" spans="1:27" s="4" customFormat="1" ht="51.95" customHeight="1">
      <c r="A23" s="5">
        <v>0</v>
      </c>
      <c r="B23" s="6" t="s">
        <v>173</v>
      </c>
      <c r="C23" s="13">
        <v>1210</v>
      </c>
      <c r="D23" s="8" t="s">
        <v>174</v>
      </c>
      <c r="E23" s="8" t="s">
        <v>175</v>
      </c>
      <c r="F23" s="8" t="s">
        <v>176</v>
      </c>
      <c r="G23" s="6" t="s">
        <v>37</v>
      </c>
      <c r="H23" s="6" t="s">
        <v>38</v>
      </c>
      <c r="I23" s="8" t="s">
        <v>73</v>
      </c>
      <c r="J23" s="9">
        <v>1</v>
      </c>
      <c r="K23" s="9">
        <v>269</v>
      </c>
      <c r="L23" s="9">
        <v>2023</v>
      </c>
      <c r="M23" s="8" t="s">
        <v>177</v>
      </c>
      <c r="N23" s="8" t="s">
        <v>41</v>
      </c>
      <c r="O23" s="8" t="s">
        <v>42</v>
      </c>
      <c r="P23" s="6" t="s">
        <v>55</v>
      </c>
      <c r="Q23" s="8" t="s">
        <v>75</v>
      </c>
      <c r="R23" s="10" t="s">
        <v>178</v>
      </c>
      <c r="S23" s="11" t="s">
        <v>179</v>
      </c>
      <c r="T23" s="6"/>
      <c r="U23" s="27" t="str">
        <f>HYPERLINK("https://media.infra-m.ru/1910/1910873/cover/1910873.jpg", "Обложка")</f>
        <v>Обложка</v>
      </c>
      <c r="V23" s="27" t="str">
        <f>HYPERLINK("https://znanium.com/catalog/product/1910873", "Ознакомиться")</f>
        <v>Ознакомиться</v>
      </c>
      <c r="W23" s="8" t="s">
        <v>180</v>
      </c>
      <c r="X23" s="6"/>
      <c r="Y23" s="6"/>
      <c r="Z23" s="6"/>
      <c r="AA23" s="6" t="s">
        <v>150</v>
      </c>
    </row>
    <row r="24" spans="1:27" s="4" customFormat="1" ht="51.95" customHeight="1">
      <c r="A24" s="5">
        <v>0</v>
      </c>
      <c r="B24" s="6" t="s">
        <v>181</v>
      </c>
      <c r="C24" s="13">
        <v>1394.9</v>
      </c>
      <c r="D24" s="8" t="s">
        <v>182</v>
      </c>
      <c r="E24" s="8" t="s">
        <v>183</v>
      </c>
      <c r="F24" s="8" t="s">
        <v>184</v>
      </c>
      <c r="G24" s="6" t="s">
        <v>119</v>
      </c>
      <c r="H24" s="6" t="s">
        <v>38</v>
      </c>
      <c r="I24" s="8"/>
      <c r="J24" s="9">
        <v>1</v>
      </c>
      <c r="K24" s="9">
        <v>624</v>
      </c>
      <c r="L24" s="9">
        <v>2018</v>
      </c>
      <c r="M24" s="8" t="s">
        <v>185</v>
      </c>
      <c r="N24" s="8" t="s">
        <v>41</v>
      </c>
      <c r="O24" s="8" t="s">
        <v>42</v>
      </c>
      <c r="P24" s="6" t="s">
        <v>122</v>
      </c>
      <c r="Q24" s="8" t="s">
        <v>186</v>
      </c>
      <c r="R24" s="10" t="s">
        <v>187</v>
      </c>
      <c r="S24" s="11"/>
      <c r="T24" s="6"/>
      <c r="U24" s="27" t="str">
        <f>HYPERLINK("https://media.infra-m.ru/0958/0958336/cover/958336.jpg", "Обложка")</f>
        <v>Обложка</v>
      </c>
      <c r="V24" s="27" t="str">
        <f>HYPERLINK("https://znanium.com/catalog/product/958323", "Ознакомиться")</f>
        <v>Ознакомиться</v>
      </c>
      <c r="W24" s="8" t="s">
        <v>188</v>
      </c>
      <c r="X24" s="6"/>
      <c r="Y24" s="6"/>
      <c r="Z24" s="6"/>
      <c r="AA24" s="6" t="s">
        <v>114</v>
      </c>
    </row>
    <row r="25" spans="1:27" s="4" customFormat="1" ht="42" customHeight="1">
      <c r="A25" s="5">
        <v>0</v>
      </c>
      <c r="B25" s="6" t="s">
        <v>189</v>
      </c>
      <c r="C25" s="7">
        <v>490</v>
      </c>
      <c r="D25" s="8" t="s">
        <v>190</v>
      </c>
      <c r="E25" s="8" t="s">
        <v>191</v>
      </c>
      <c r="F25" s="8" t="s">
        <v>192</v>
      </c>
      <c r="G25" s="6" t="s">
        <v>119</v>
      </c>
      <c r="H25" s="6" t="s">
        <v>38</v>
      </c>
      <c r="I25" s="8" t="s">
        <v>120</v>
      </c>
      <c r="J25" s="9">
        <v>1</v>
      </c>
      <c r="K25" s="9">
        <v>143</v>
      </c>
      <c r="L25" s="9">
        <v>2019</v>
      </c>
      <c r="M25" s="8" t="s">
        <v>193</v>
      </c>
      <c r="N25" s="8" t="s">
        <v>41</v>
      </c>
      <c r="O25" s="8" t="s">
        <v>42</v>
      </c>
      <c r="P25" s="6" t="s">
        <v>122</v>
      </c>
      <c r="Q25" s="8" t="s">
        <v>123</v>
      </c>
      <c r="R25" s="10" t="s">
        <v>194</v>
      </c>
      <c r="S25" s="11"/>
      <c r="T25" s="6"/>
      <c r="U25" s="27" t="str">
        <f>HYPERLINK("https://media.infra-m.ru/1003/1003266/cover/1003266.jpg", "Обложка")</f>
        <v>Обложка</v>
      </c>
      <c r="V25" s="27" t="str">
        <f>HYPERLINK("https://znanium.com/catalog/product/1003266", "Ознакомиться")</f>
        <v>Ознакомиться</v>
      </c>
      <c r="W25" s="8" t="s">
        <v>195</v>
      </c>
      <c r="X25" s="6"/>
      <c r="Y25" s="6"/>
      <c r="Z25" s="6"/>
      <c r="AA25" s="6" t="s">
        <v>150</v>
      </c>
    </row>
    <row r="26" spans="1:27" s="4" customFormat="1" ht="51.95" customHeight="1">
      <c r="A26" s="5">
        <v>0</v>
      </c>
      <c r="B26" s="6" t="s">
        <v>196</v>
      </c>
      <c r="C26" s="13">
        <v>2900</v>
      </c>
      <c r="D26" s="8" t="s">
        <v>197</v>
      </c>
      <c r="E26" s="8" t="s">
        <v>198</v>
      </c>
      <c r="F26" s="8" t="s">
        <v>199</v>
      </c>
      <c r="G26" s="6" t="s">
        <v>37</v>
      </c>
      <c r="H26" s="6" t="s">
        <v>38</v>
      </c>
      <c r="I26" s="8" t="s">
        <v>73</v>
      </c>
      <c r="J26" s="9">
        <v>1</v>
      </c>
      <c r="K26" s="9">
        <v>648</v>
      </c>
      <c r="L26" s="9">
        <v>2023</v>
      </c>
      <c r="M26" s="8" t="s">
        <v>200</v>
      </c>
      <c r="N26" s="8" t="s">
        <v>41</v>
      </c>
      <c r="O26" s="8" t="s">
        <v>42</v>
      </c>
      <c r="P26" s="6" t="s">
        <v>55</v>
      </c>
      <c r="Q26" s="8" t="s">
        <v>75</v>
      </c>
      <c r="R26" s="10" t="s">
        <v>201</v>
      </c>
      <c r="S26" s="11" t="s">
        <v>202</v>
      </c>
      <c r="T26" s="6" t="s">
        <v>59</v>
      </c>
      <c r="U26" s="27" t="str">
        <f>HYPERLINK("https://media.infra-m.ru/1893/1893972/cover/1893972.jpg", "Обложка")</f>
        <v>Обложка</v>
      </c>
      <c r="V26" s="27" t="str">
        <f>HYPERLINK("https://znanium.com/catalog/product/1893972", "Ознакомиться")</f>
        <v>Ознакомиться</v>
      </c>
      <c r="W26" s="8" t="s">
        <v>203</v>
      </c>
      <c r="X26" s="6"/>
      <c r="Y26" s="6"/>
      <c r="Z26" s="6"/>
      <c r="AA26" s="6" t="s">
        <v>204</v>
      </c>
    </row>
    <row r="27" spans="1:27" s="4" customFormat="1" ht="42" customHeight="1">
      <c r="A27" s="5">
        <v>0</v>
      </c>
      <c r="B27" s="6" t="s">
        <v>205</v>
      </c>
      <c r="C27" s="7">
        <v>844.9</v>
      </c>
      <c r="D27" s="8" t="s">
        <v>206</v>
      </c>
      <c r="E27" s="8" t="s">
        <v>207</v>
      </c>
      <c r="F27" s="8" t="s">
        <v>208</v>
      </c>
      <c r="G27" s="6" t="s">
        <v>119</v>
      </c>
      <c r="H27" s="6" t="s">
        <v>209</v>
      </c>
      <c r="I27" s="8" t="s">
        <v>210</v>
      </c>
      <c r="J27" s="9">
        <v>1</v>
      </c>
      <c r="K27" s="9">
        <v>215</v>
      </c>
      <c r="L27" s="9">
        <v>2022</v>
      </c>
      <c r="M27" s="8" t="s">
        <v>211</v>
      </c>
      <c r="N27" s="8" t="s">
        <v>41</v>
      </c>
      <c r="O27" s="8" t="s">
        <v>42</v>
      </c>
      <c r="P27" s="6" t="s">
        <v>122</v>
      </c>
      <c r="Q27" s="8" t="s">
        <v>123</v>
      </c>
      <c r="R27" s="10" t="s">
        <v>201</v>
      </c>
      <c r="S27" s="11"/>
      <c r="T27" s="6"/>
      <c r="U27" s="27" t="str">
        <f>HYPERLINK("https://media.infra-m.ru/1863/1863380/cover/1863380.jpg", "Обложка")</f>
        <v>Обложка</v>
      </c>
      <c r="V27" s="27" t="str">
        <f>HYPERLINK("https://znanium.com/catalog/product/1220171", "Ознакомиться")</f>
        <v>Ознакомиться</v>
      </c>
      <c r="W27" s="8" t="s">
        <v>212</v>
      </c>
      <c r="X27" s="6"/>
      <c r="Y27" s="6"/>
      <c r="Z27" s="6"/>
      <c r="AA27" s="6" t="s">
        <v>213</v>
      </c>
    </row>
    <row r="28" spans="1:27" s="4" customFormat="1" ht="51.95" customHeight="1">
      <c r="A28" s="5">
        <v>0</v>
      </c>
      <c r="B28" s="6" t="s">
        <v>214</v>
      </c>
      <c r="C28" s="13">
        <v>1034.9000000000001</v>
      </c>
      <c r="D28" s="8" t="s">
        <v>215</v>
      </c>
      <c r="E28" s="8" t="s">
        <v>216</v>
      </c>
      <c r="F28" s="8" t="s">
        <v>217</v>
      </c>
      <c r="G28" s="6" t="s">
        <v>92</v>
      </c>
      <c r="H28" s="6" t="s">
        <v>38</v>
      </c>
      <c r="I28" s="8" t="s">
        <v>73</v>
      </c>
      <c r="J28" s="9">
        <v>1</v>
      </c>
      <c r="K28" s="9">
        <v>229</v>
      </c>
      <c r="L28" s="9">
        <v>2023</v>
      </c>
      <c r="M28" s="8" t="s">
        <v>218</v>
      </c>
      <c r="N28" s="8" t="s">
        <v>41</v>
      </c>
      <c r="O28" s="8" t="s">
        <v>42</v>
      </c>
      <c r="P28" s="6" t="s">
        <v>43</v>
      </c>
      <c r="Q28" s="8" t="s">
        <v>75</v>
      </c>
      <c r="R28" s="10" t="s">
        <v>219</v>
      </c>
      <c r="S28" s="11" t="s">
        <v>220</v>
      </c>
      <c r="T28" s="6"/>
      <c r="U28" s="27" t="str">
        <f>HYPERLINK("https://media.infra-m.ru/2002/2002638/cover/2002638.jpg", "Обложка")</f>
        <v>Обложка</v>
      </c>
      <c r="V28" s="27" t="str">
        <f>HYPERLINK("https://znanium.com/catalog/product/1087046", "Ознакомиться")</f>
        <v>Ознакомиться</v>
      </c>
      <c r="W28" s="8" t="s">
        <v>221</v>
      </c>
      <c r="X28" s="6"/>
      <c r="Y28" s="6"/>
      <c r="Z28" s="6"/>
      <c r="AA28" s="6" t="s">
        <v>222</v>
      </c>
    </row>
    <row r="29" spans="1:27" s="4" customFormat="1" ht="51.95" customHeight="1">
      <c r="A29" s="5">
        <v>0</v>
      </c>
      <c r="B29" s="6" t="s">
        <v>223</v>
      </c>
      <c r="C29" s="7">
        <v>890</v>
      </c>
      <c r="D29" s="8" t="s">
        <v>224</v>
      </c>
      <c r="E29" s="8" t="s">
        <v>225</v>
      </c>
      <c r="F29" s="8" t="s">
        <v>226</v>
      </c>
      <c r="G29" s="6" t="s">
        <v>37</v>
      </c>
      <c r="H29" s="6" t="s">
        <v>38</v>
      </c>
      <c r="I29" s="8" t="s">
        <v>132</v>
      </c>
      <c r="J29" s="9">
        <v>1</v>
      </c>
      <c r="K29" s="9">
        <v>192</v>
      </c>
      <c r="L29" s="9">
        <v>2024</v>
      </c>
      <c r="M29" s="8" t="s">
        <v>227</v>
      </c>
      <c r="N29" s="8" t="s">
        <v>41</v>
      </c>
      <c r="O29" s="8" t="s">
        <v>42</v>
      </c>
      <c r="P29" s="6" t="s">
        <v>43</v>
      </c>
      <c r="Q29" s="8" t="s">
        <v>75</v>
      </c>
      <c r="R29" s="10" t="s">
        <v>228</v>
      </c>
      <c r="S29" s="11" t="s">
        <v>229</v>
      </c>
      <c r="T29" s="6"/>
      <c r="U29" s="27" t="str">
        <f>HYPERLINK("https://media.infra-m.ru/2053/2053971/cover/2053971.jpg", "Обложка")</f>
        <v>Обложка</v>
      </c>
      <c r="V29" s="27" t="str">
        <f>HYPERLINK("https://znanium.com/catalog/product/2053971", "Ознакомиться")</f>
        <v>Ознакомиться</v>
      </c>
      <c r="W29" s="8"/>
      <c r="X29" s="6"/>
      <c r="Y29" s="6"/>
      <c r="Z29" s="6"/>
      <c r="AA29" s="6" t="s">
        <v>230</v>
      </c>
    </row>
    <row r="30" spans="1:27" s="4" customFormat="1" ht="51.95" customHeight="1">
      <c r="A30" s="5">
        <v>0</v>
      </c>
      <c r="B30" s="6" t="s">
        <v>231</v>
      </c>
      <c r="C30" s="13">
        <v>1320</v>
      </c>
      <c r="D30" s="8" t="s">
        <v>232</v>
      </c>
      <c r="E30" s="8" t="s">
        <v>233</v>
      </c>
      <c r="F30" s="8" t="s">
        <v>208</v>
      </c>
      <c r="G30" s="6" t="s">
        <v>119</v>
      </c>
      <c r="H30" s="6" t="s">
        <v>209</v>
      </c>
      <c r="I30" s="8" t="s">
        <v>210</v>
      </c>
      <c r="J30" s="9">
        <v>1</v>
      </c>
      <c r="K30" s="9">
        <v>288</v>
      </c>
      <c r="L30" s="9">
        <v>2024</v>
      </c>
      <c r="M30" s="8" t="s">
        <v>234</v>
      </c>
      <c r="N30" s="8" t="s">
        <v>41</v>
      </c>
      <c r="O30" s="8" t="s">
        <v>42</v>
      </c>
      <c r="P30" s="6" t="s">
        <v>235</v>
      </c>
      <c r="Q30" s="8" t="s">
        <v>123</v>
      </c>
      <c r="R30" s="10" t="s">
        <v>236</v>
      </c>
      <c r="S30" s="11"/>
      <c r="T30" s="6" t="s">
        <v>59</v>
      </c>
      <c r="U30" s="27" t="str">
        <f>HYPERLINK("https://media.infra-m.ru/2084/2084493/cover/2084493.jpg", "Обложка")</f>
        <v>Обложка</v>
      </c>
      <c r="V30" s="27" t="str">
        <f>HYPERLINK("https://znanium.com/catalog/product/2084493", "Ознакомиться")</f>
        <v>Ознакомиться</v>
      </c>
      <c r="W30" s="8" t="s">
        <v>212</v>
      </c>
      <c r="X30" s="6"/>
      <c r="Y30" s="6"/>
      <c r="Z30" s="6"/>
      <c r="AA30" s="6" t="s">
        <v>237</v>
      </c>
    </row>
    <row r="31" spans="1:27" s="4" customFormat="1" ht="51.95" customHeight="1">
      <c r="A31" s="5">
        <v>0</v>
      </c>
      <c r="B31" s="6" t="s">
        <v>238</v>
      </c>
      <c r="C31" s="13">
        <v>1120</v>
      </c>
      <c r="D31" s="8" t="s">
        <v>239</v>
      </c>
      <c r="E31" s="8" t="s">
        <v>240</v>
      </c>
      <c r="F31" s="8" t="s">
        <v>208</v>
      </c>
      <c r="G31" s="6" t="s">
        <v>119</v>
      </c>
      <c r="H31" s="6" t="s">
        <v>209</v>
      </c>
      <c r="I31" s="8" t="s">
        <v>210</v>
      </c>
      <c r="J31" s="9">
        <v>1</v>
      </c>
      <c r="K31" s="9">
        <v>287</v>
      </c>
      <c r="L31" s="9">
        <v>2021</v>
      </c>
      <c r="M31" s="8" t="s">
        <v>241</v>
      </c>
      <c r="N31" s="8" t="s">
        <v>41</v>
      </c>
      <c r="O31" s="8" t="s">
        <v>42</v>
      </c>
      <c r="P31" s="6" t="s">
        <v>235</v>
      </c>
      <c r="Q31" s="8" t="s">
        <v>123</v>
      </c>
      <c r="R31" s="10" t="s">
        <v>236</v>
      </c>
      <c r="S31" s="11"/>
      <c r="T31" s="6" t="s">
        <v>59</v>
      </c>
      <c r="U31" s="27" t="str">
        <f>HYPERLINK("https://media.infra-m.ru/1218/1218458/cover/1218458.jpg", "Обложка")</f>
        <v>Обложка</v>
      </c>
      <c r="V31" s="27" t="str">
        <f>HYPERLINK("https://znanium.com/catalog/product/2084493", "Ознакомиться")</f>
        <v>Ознакомиться</v>
      </c>
      <c r="W31" s="8" t="s">
        <v>212</v>
      </c>
      <c r="X31" s="6"/>
      <c r="Y31" s="6"/>
      <c r="Z31" s="6"/>
      <c r="AA31" s="6" t="s">
        <v>70</v>
      </c>
    </row>
    <row r="32" spans="1:27" s="4" customFormat="1" ht="51.95" customHeight="1">
      <c r="A32" s="5">
        <v>0</v>
      </c>
      <c r="B32" s="6" t="s">
        <v>242</v>
      </c>
      <c r="C32" s="13">
        <v>1330</v>
      </c>
      <c r="D32" s="8" t="s">
        <v>243</v>
      </c>
      <c r="E32" s="8" t="s">
        <v>244</v>
      </c>
      <c r="F32" s="8" t="s">
        <v>245</v>
      </c>
      <c r="G32" s="6" t="s">
        <v>37</v>
      </c>
      <c r="H32" s="6" t="s">
        <v>52</v>
      </c>
      <c r="I32" s="8" t="s">
        <v>53</v>
      </c>
      <c r="J32" s="9">
        <v>1</v>
      </c>
      <c r="K32" s="9">
        <v>296</v>
      </c>
      <c r="L32" s="9">
        <v>2023</v>
      </c>
      <c r="M32" s="8" t="s">
        <v>246</v>
      </c>
      <c r="N32" s="8" t="s">
        <v>41</v>
      </c>
      <c r="O32" s="8" t="s">
        <v>42</v>
      </c>
      <c r="P32" s="6" t="s">
        <v>55</v>
      </c>
      <c r="Q32" s="8" t="s">
        <v>56</v>
      </c>
      <c r="R32" s="10" t="s">
        <v>247</v>
      </c>
      <c r="S32" s="11" t="s">
        <v>248</v>
      </c>
      <c r="T32" s="6"/>
      <c r="U32" s="27" t="str">
        <f>HYPERLINK("https://media.infra-m.ru/2021/2021415/cover/2021415.jpg", "Обложка")</f>
        <v>Обложка</v>
      </c>
      <c r="V32" s="27" t="str">
        <f>HYPERLINK("https://znanium.com/catalog/product/2021415", "Ознакомиться")</f>
        <v>Ознакомиться</v>
      </c>
      <c r="W32" s="8"/>
      <c r="X32" s="6"/>
      <c r="Y32" s="6"/>
      <c r="Z32" s="6" t="s">
        <v>60</v>
      </c>
      <c r="AA32" s="6" t="s">
        <v>61</v>
      </c>
    </row>
    <row r="33" spans="1:27" s="4" customFormat="1" ht="51.95" customHeight="1">
      <c r="A33" s="5">
        <v>0</v>
      </c>
      <c r="B33" s="6" t="s">
        <v>249</v>
      </c>
      <c r="C33" s="13">
        <v>1334.9</v>
      </c>
      <c r="D33" s="8" t="s">
        <v>250</v>
      </c>
      <c r="E33" s="8" t="s">
        <v>244</v>
      </c>
      <c r="F33" s="8" t="s">
        <v>251</v>
      </c>
      <c r="G33" s="6" t="s">
        <v>37</v>
      </c>
      <c r="H33" s="6" t="s">
        <v>52</v>
      </c>
      <c r="I33" s="8"/>
      <c r="J33" s="9">
        <v>1</v>
      </c>
      <c r="K33" s="9">
        <v>296</v>
      </c>
      <c r="L33" s="9">
        <v>2023</v>
      </c>
      <c r="M33" s="8" t="s">
        <v>252</v>
      </c>
      <c r="N33" s="8" t="s">
        <v>41</v>
      </c>
      <c r="O33" s="8" t="s">
        <v>42</v>
      </c>
      <c r="P33" s="6" t="s">
        <v>55</v>
      </c>
      <c r="Q33" s="8" t="s">
        <v>75</v>
      </c>
      <c r="R33" s="10" t="s">
        <v>253</v>
      </c>
      <c r="S33" s="11"/>
      <c r="T33" s="6"/>
      <c r="U33" s="27" t="str">
        <f>HYPERLINK("https://media.infra-m.ru/1933/1933180/cover/1933180.jpg", "Обложка")</f>
        <v>Обложка</v>
      </c>
      <c r="V33" s="27" t="str">
        <f>HYPERLINK("https://znanium.com/catalog/product/1940917", "Ознакомиться")</f>
        <v>Ознакомиться</v>
      </c>
      <c r="W33" s="8"/>
      <c r="X33" s="6"/>
      <c r="Y33" s="6"/>
      <c r="Z33" s="6"/>
      <c r="AA33" s="6" t="s">
        <v>114</v>
      </c>
    </row>
    <row r="34" spans="1:27" s="4" customFormat="1" ht="42" customHeight="1">
      <c r="A34" s="5">
        <v>0</v>
      </c>
      <c r="B34" s="6" t="s">
        <v>254</v>
      </c>
      <c r="C34" s="7">
        <v>370</v>
      </c>
      <c r="D34" s="8" t="s">
        <v>255</v>
      </c>
      <c r="E34" s="8" t="s">
        <v>244</v>
      </c>
      <c r="F34" s="8" t="s">
        <v>256</v>
      </c>
      <c r="G34" s="6" t="s">
        <v>119</v>
      </c>
      <c r="H34" s="6" t="s">
        <v>209</v>
      </c>
      <c r="I34" s="8" t="s">
        <v>257</v>
      </c>
      <c r="J34" s="9">
        <v>1</v>
      </c>
      <c r="K34" s="9">
        <v>81</v>
      </c>
      <c r="L34" s="9">
        <v>2024</v>
      </c>
      <c r="M34" s="8" t="s">
        <v>258</v>
      </c>
      <c r="N34" s="8" t="s">
        <v>41</v>
      </c>
      <c r="O34" s="8" t="s">
        <v>42</v>
      </c>
      <c r="P34" s="6" t="s">
        <v>43</v>
      </c>
      <c r="Q34" s="8" t="s">
        <v>56</v>
      </c>
      <c r="R34" s="10" t="s">
        <v>259</v>
      </c>
      <c r="S34" s="11"/>
      <c r="T34" s="6"/>
      <c r="U34" s="27" t="str">
        <f>HYPERLINK("https://media.infra-m.ru/2107/2107320/cover/2107320.jpg", "Обложка")</f>
        <v>Обложка</v>
      </c>
      <c r="V34" s="27" t="str">
        <f>HYPERLINK("https://znanium.com/catalog/product/2107320", "Ознакомиться")</f>
        <v>Ознакомиться</v>
      </c>
      <c r="W34" s="8"/>
      <c r="X34" s="6"/>
      <c r="Y34" s="6"/>
      <c r="Z34" s="6" t="s">
        <v>60</v>
      </c>
      <c r="AA34" s="6" t="s">
        <v>61</v>
      </c>
    </row>
    <row r="35" spans="1:27" s="4" customFormat="1" ht="51.95" customHeight="1">
      <c r="A35" s="5">
        <v>0</v>
      </c>
      <c r="B35" s="6" t="s">
        <v>260</v>
      </c>
      <c r="C35" s="7">
        <v>274.89999999999998</v>
      </c>
      <c r="D35" s="8" t="s">
        <v>261</v>
      </c>
      <c r="E35" s="8" t="s">
        <v>244</v>
      </c>
      <c r="F35" s="8" t="s">
        <v>262</v>
      </c>
      <c r="G35" s="6" t="s">
        <v>119</v>
      </c>
      <c r="H35" s="6" t="s">
        <v>209</v>
      </c>
      <c r="I35" s="8" t="s">
        <v>263</v>
      </c>
      <c r="J35" s="9">
        <v>1</v>
      </c>
      <c r="K35" s="9">
        <v>81</v>
      </c>
      <c r="L35" s="9">
        <v>2023</v>
      </c>
      <c r="M35" s="8" t="s">
        <v>264</v>
      </c>
      <c r="N35" s="8" t="s">
        <v>41</v>
      </c>
      <c r="O35" s="8" t="s">
        <v>42</v>
      </c>
      <c r="P35" s="6" t="s">
        <v>43</v>
      </c>
      <c r="Q35" s="8" t="s">
        <v>75</v>
      </c>
      <c r="R35" s="10" t="s">
        <v>265</v>
      </c>
      <c r="S35" s="11"/>
      <c r="T35" s="6"/>
      <c r="U35" s="27" t="str">
        <f>HYPERLINK("https://media.infra-m.ru/1903/1903371/cover/1903371.jpg", "Обложка")</f>
        <v>Обложка</v>
      </c>
      <c r="V35" s="27" t="str">
        <f>HYPERLINK("https://znanium.com/catalog/product/1818631", "Ознакомиться")</f>
        <v>Ознакомиться</v>
      </c>
      <c r="W35" s="8"/>
      <c r="X35" s="6"/>
      <c r="Y35" s="6"/>
      <c r="Z35" s="6"/>
      <c r="AA35" s="6" t="s">
        <v>266</v>
      </c>
    </row>
    <row r="36" spans="1:27" s="4" customFormat="1" ht="51.95" customHeight="1">
      <c r="A36" s="5">
        <v>0</v>
      </c>
      <c r="B36" s="6" t="s">
        <v>267</v>
      </c>
      <c r="C36" s="13">
        <v>1030</v>
      </c>
      <c r="D36" s="8" t="s">
        <v>268</v>
      </c>
      <c r="E36" s="8" t="s">
        <v>269</v>
      </c>
      <c r="F36" s="8" t="s">
        <v>270</v>
      </c>
      <c r="G36" s="6" t="s">
        <v>119</v>
      </c>
      <c r="H36" s="6" t="s">
        <v>161</v>
      </c>
      <c r="I36" s="8" t="s">
        <v>53</v>
      </c>
      <c r="J36" s="9">
        <v>30</v>
      </c>
      <c r="K36" s="9">
        <v>272</v>
      </c>
      <c r="L36" s="9">
        <v>2022</v>
      </c>
      <c r="M36" s="8" t="s">
        <v>271</v>
      </c>
      <c r="N36" s="8" t="s">
        <v>41</v>
      </c>
      <c r="O36" s="8" t="s">
        <v>42</v>
      </c>
      <c r="P36" s="6" t="s">
        <v>43</v>
      </c>
      <c r="Q36" s="8" t="s">
        <v>56</v>
      </c>
      <c r="R36" s="10" t="s">
        <v>272</v>
      </c>
      <c r="S36" s="11" t="s">
        <v>273</v>
      </c>
      <c r="T36" s="6"/>
      <c r="U36" s="27" t="str">
        <f>HYPERLINK("https://media.infra-m.ru/1839/1839669/cover/1839669.jpg", "Обложка")</f>
        <v>Обложка</v>
      </c>
      <c r="V36" s="27" t="str">
        <f>HYPERLINK("https://znanium.com/catalog/product/1839669", "Ознакомиться")</f>
        <v>Ознакомиться</v>
      </c>
      <c r="W36" s="8" t="s">
        <v>125</v>
      </c>
      <c r="X36" s="6"/>
      <c r="Y36" s="6" t="s">
        <v>30</v>
      </c>
      <c r="Z36" s="6"/>
      <c r="AA36" s="6" t="s">
        <v>274</v>
      </c>
    </row>
    <row r="37" spans="1:27" s="4" customFormat="1" ht="51.95" customHeight="1">
      <c r="A37" s="5">
        <v>0</v>
      </c>
      <c r="B37" s="6" t="s">
        <v>275</v>
      </c>
      <c r="C37" s="13">
        <v>1094.9000000000001</v>
      </c>
      <c r="D37" s="8" t="s">
        <v>276</v>
      </c>
      <c r="E37" s="8" t="s">
        <v>277</v>
      </c>
      <c r="F37" s="8" t="s">
        <v>278</v>
      </c>
      <c r="G37" s="6" t="s">
        <v>37</v>
      </c>
      <c r="H37" s="6" t="s">
        <v>38</v>
      </c>
      <c r="I37" s="8" t="s">
        <v>53</v>
      </c>
      <c r="J37" s="9">
        <v>1</v>
      </c>
      <c r="K37" s="9">
        <v>288</v>
      </c>
      <c r="L37" s="9">
        <v>2022</v>
      </c>
      <c r="M37" s="8" t="s">
        <v>279</v>
      </c>
      <c r="N37" s="8" t="s">
        <v>41</v>
      </c>
      <c r="O37" s="8" t="s">
        <v>42</v>
      </c>
      <c r="P37" s="6" t="s">
        <v>43</v>
      </c>
      <c r="Q37" s="8" t="s">
        <v>56</v>
      </c>
      <c r="R37" s="10" t="s">
        <v>280</v>
      </c>
      <c r="S37" s="11" t="s">
        <v>281</v>
      </c>
      <c r="T37" s="6"/>
      <c r="U37" s="27" t="str">
        <f>HYPERLINK("https://media.infra-m.ru/1832/1832175/cover/1832175.jpg", "Обложка")</f>
        <v>Обложка</v>
      </c>
      <c r="V37" s="27" t="str">
        <f>HYPERLINK("https://znanium.com/catalog/product/1832175", "Ознакомиться")</f>
        <v>Ознакомиться</v>
      </c>
      <c r="W37" s="8"/>
      <c r="X37" s="6"/>
      <c r="Y37" s="6" t="s">
        <v>30</v>
      </c>
      <c r="Z37" s="6"/>
      <c r="AA37" s="6" t="s">
        <v>282</v>
      </c>
    </row>
    <row r="38" spans="1:27" s="4" customFormat="1" ht="51.95" customHeight="1">
      <c r="A38" s="5">
        <v>0</v>
      </c>
      <c r="B38" s="6" t="s">
        <v>283</v>
      </c>
      <c r="C38" s="13">
        <v>1104</v>
      </c>
      <c r="D38" s="8" t="s">
        <v>284</v>
      </c>
      <c r="E38" s="8" t="s">
        <v>244</v>
      </c>
      <c r="F38" s="8" t="s">
        <v>285</v>
      </c>
      <c r="G38" s="6" t="s">
        <v>37</v>
      </c>
      <c r="H38" s="6" t="s">
        <v>131</v>
      </c>
      <c r="I38" s="8" t="s">
        <v>286</v>
      </c>
      <c r="J38" s="9">
        <v>1</v>
      </c>
      <c r="K38" s="9">
        <v>240</v>
      </c>
      <c r="L38" s="9">
        <v>2024</v>
      </c>
      <c r="M38" s="8" t="s">
        <v>287</v>
      </c>
      <c r="N38" s="8" t="s">
        <v>41</v>
      </c>
      <c r="O38" s="8" t="s">
        <v>42</v>
      </c>
      <c r="P38" s="6" t="s">
        <v>43</v>
      </c>
      <c r="Q38" s="8" t="s">
        <v>56</v>
      </c>
      <c r="R38" s="10" t="s">
        <v>288</v>
      </c>
      <c r="S38" s="11" t="s">
        <v>289</v>
      </c>
      <c r="T38" s="6"/>
      <c r="U38" s="27" t="str">
        <f>HYPERLINK("https://media.infra-m.ru/2054/2054996/cover/2054996.jpg", "Обложка")</f>
        <v>Обложка</v>
      </c>
      <c r="V38" s="27" t="str">
        <f>HYPERLINK("https://znanium.com/catalog/product/1446152", "Ознакомиться")</f>
        <v>Ознакомиться</v>
      </c>
      <c r="W38" s="8" t="s">
        <v>149</v>
      </c>
      <c r="X38" s="6"/>
      <c r="Y38" s="6"/>
      <c r="Z38" s="6"/>
      <c r="AA38" s="6" t="s">
        <v>290</v>
      </c>
    </row>
    <row r="39" spans="1:27" s="4" customFormat="1" ht="51.95" customHeight="1">
      <c r="A39" s="5">
        <v>0</v>
      </c>
      <c r="B39" s="6" t="s">
        <v>291</v>
      </c>
      <c r="C39" s="13">
        <v>1090</v>
      </c>
      <c r="D39" s="8" t="s">
        <v>292</v>
      </c>
      <c r="E39" s="8" t="s">
        <v>293</v>
      </c>
      <c r="F39" s="8" t="s">
        <v>294</v>
      </c>
      <c r="G39" s="6" t="s">
        <v>37</v>
      </c>
      <c r="H39" s="6" t="s">
        <v>38</v>
      </c>
      <c r="I39" s="8" t="s">
        <v>132</v>
      </c>
      <c r="J39" s="9">
        <v>1</v>
      </c>
      <c r="K39" s="9">
        <v>236</v>
      </c>
      <c r="L39" s="9">
        <v>2023</v>
      </c>
      <c r="M39" s="8" t="s">
        <v>295</v>
      </c>
      <c r="N39" s="8" t="s">
        <v>41</v>
      </c>
      <c r="O39" s="8" t="s">
        <v>42</v>
      </c>
      <c r="P39" s="6" t="s">
        <v>55</v>
      </c>
      <c r="Q39" s="8" t="s">
        <v>286</v>
      </c>
      <c r="R39" s="10" t="s">
        <v>296</v>
      </c>
      <c r="S39" s="11" t="s">
        <v>297</v>
      </c>
      <c r="T39" s="6" t="s">
        <v>59</v>
      </c>
      <c r="U39" s="27" t="str">
        <f>HYPERLINK("https://media.infra-m.ru/2030/2030718/cover/2030718.jpg", "Обложка")</f>
        <v>Обложка</v>
      </c>
      <c r="V39" s="27" t="str">
        <f>HYPERLINK("https://znanium.com/catalog/product/1875854", "Ознакомиться")</f>
        <v>Ознакомиться</v>
      </c>
      <c r="W39" s="8" t="s">
        <v>298</v>
      </c>
      <c r="X39" s="6"/>
      <c r="Y39" s="6"/>
      <c r="Z39" s="6"/>
      <c r="AA39" s="6" t="s">
        <v>299</v>
      </c>
    </row>
    <row r="40" spans="1:27" s="4" customFormat="1" ht="44.1" customHeight="1">
      <c r="A40" s="5">
        <v>0</v>
      </c>
      <c r="B40" s="6" t="s">
        <v>300</v>
      </c>
      <c r="C40" s="7">
        <v>900</v>
      </c>
      <c r="D40" s="8" t="s">
        <v>301</v>
      </c>
      <c r="E40" s="8" t="s">
        <v>302</v>
      </c>
      <c r="F40" s="8" t="s">
        <v>303</v>
      </c>
      <c r="G40" s="6" t="s">
        <v>119</v>
      </c>
      <c r="H40" s="6" t="s">
        <v>93</v>
      </c>
      <c r="I40" s="8"/>
      <c r="J40" s="9">
        <v>1</v>
      </c>
      <c r="K40" s="9">
        <v>200</v>
      </c>
      <c r="L40" s="9">
        <v>2023</v>
      </c>
      <c r="M40" s="8" t="s">
        <v>304</v>
      </c>
      <c r="N40" s="8" t="s">
        <v>41</v>
      </c>
      <c r="O40" s="8" t="s">
        <v>42</v>
      </c>
      <c r="P40" s="6" t="s">
        <v>122</v>
      </c>
      <c r="Q40" s="8" t="s">
        <v>123</v>
      </c>
      <c r="R40" s="10" t="s">
        <v>305</v>
      </c>
      <c r="S40" s="11"/>
      <c r="T40" s="6"/>
      <c r="U40" s="27" t="str">
        <f>HYPERLINK("https://media.infra-m.ru/1913/1913794/cover/1913794.jpg", "Обложка")</f>
        <v>Обложка</v>
      </c>
      <c r="V40" s="27" t="str">
        <f>HYPERLINK("https://znanium.com/catalog/product/1913794", "Ознакомиться")</f>
        <v>Ознакомиться</v>
      </c>
      <c r="W40" s="8" t="s">
        <v>306</v>
      </c>
      <c r="X40" s="6"/>
      <c r="Y40" s="6"/>
      <c r="Z40" s="6"/>
      <c r="AA40" s="6" t="s">
        <v>106</v>
      </c>
    </row>
    <row r="41" spans="1:27" s="4" customFormat="1" ht="51.95" customHeight="1">
      <c r="A41" s="5">
        <v>0</v>
      </c>
      <c r="B41" s="6" t="s">
        <v>307</v>
      </c>
      <c r="C41" s="13">
        <v>1450</v>
      </c>
      <c r="D41" s="8" t="s">
        <v>308</v>
      </c>
      <c r="E41" s="8" t="s">
        <v>309</v>
      </c>
      <c r="F41" s="8" t="s">
        <v>310</v>
      </c>
      <c r="G41" s="6" t="s">
        <v>37</v>
      </c>
      <c r="H41" s="6" t="s">
        <v>209</v>
      </c>
      <c r="I41" s="8" t="s">
        <v>132</v>
      </c>
      <c r="J41" s="9">
        <v>1</v>
      </c>
      <c r="K41" s="9">
        <v>316</v>
      </c>
      <c r="L41" s="9">
        <v>2024</v>
      </c>
      <c r="M41" s="8" t="s">
        <v>311</v>
      </c>
      <c r="N41" s="8" t="s">
        <v>41</v>
      </c>
      <c r="O41" s="8" t="s">
        <v>42</v>
      </c>
      <c r="P41" s="6" t="s">
        <v>55</v>
      </c>
      <c r="Q41" s="8" t="s">
        <v>286</v>
      </c>
      <c r="R41" s="10" t="s">
        <v>312</v>
      </c>
      <c r="S41" s="11" t="s">
        <v>313</v>
      </c>
      <c r="T41" s="6"/>
      <c r="U41" s="27" t="str">
        <f>HYPERLINK("https://media.infra-m.ru/2008/2008766/cover/2008766.jpg", "Обложка")</f>
        <v>Обложка</v>
      </c>
      <c r="V41" s="27" t="str">
        <f>HYPERLINK("https://znanium.com/catalog/product/2008766", "Ознакомиться")</f>
        <v>Ознакомиться</v>
      </c>
      <c r="W41" s="8" t="s">
        <v>314</v>
      </c>
      <c r="X41" s="6"/>
      <c r="Y41" s="6"/>
      <c r="Z41" s="6"/>
      <c r="AA41" s="6" t="s">
        <v>213</v>
      </c>
    </row>
    <row r="42" spans="1:27" s="4" customFormat="1" ht="51.95" customHeight="1">
      <c r="A42" s="5">
        <v>0</v>
      </c>
      <c r="B42" s="6" t="s">
        <v>315</v>
      </c>
      <c r="C42" s="13">
        <v>1234.9000000000001</v>
      </c>
      <c r="D42" s="8" t="s">
        <v>316</v>
      </c>
      <c r="E42" s="8" t="s">
        <v>317</v>
      </c>
      <c r="F42" s="8" t="s">
        <v>318</v>
      </c>
      <c r="G42" s="6" t="s">
        <v>37</v>
      </c>
      <c r="H42" s="6" t="s">
        <v>38</v>
      </c>
      <c r="I42" s="8" t="s">
        <v>73</v>
      </c>
      <c r="J42" s="9">
        <v>1</v>
      </c>
      <c r="K42" s="9">
        <v>272</v>
      </c>
      <c r="L42" s="9">
        <v>2023</v>
      </c>
      <c r="M42" s="8" t="s">
        <v>319</v>
      </c>
      <c r="N42" s="8" t="s">
        <v>41</v>
      </c>
      <c r="O42" s="8" t="s">
        <v>42</v>
      </c>
      <c r="P42" s="6" t="s">
        <v>43</v>
      </c>
      <c r="Q42" s="8" t="s">
        <v>75</v>
      </c>
      <c r="R42" s="10" t="s">
        <v>320</v>
      </c>
      <c r="S42" s="11" t="s">
        <v>321</v>
      </c>
      <c r="T42" s="6"/>
      <c r="U42" s="27" t="str">
        <f>HYPERLINK("https://media.infra-m.ru/2032/2032540/cover/2032540.jpg", "Обложка")</f>
        <v>Обложка</v>
      </c>
      <c r="V42" s="27" t="str">
        <f>HYPERLINK("https://znanium.com/catalog/product/1896101", "Ознакомиться")</f>
        <v>Ознакомиться</v>
      </c>
      <c r="W42" s="8" t="s">
        <v>149</v>
      </c>
      <c r="X42" s="6"/>
      <c r="Y42" s="6"/>
      <c r="Z42" s="6"/>
      <c r="AA42" s="6" t="s">
        <v>204</v>
      </c>
    </row>
    <row r="43" spans="1:27" s="4" customFormat="1" ht="51.95" customHeight="1">
      <c r="A43" s="5">
        <v>0</v>
      </c>
      <c r="B43" s="6" t="s">
        <v>322</v>
      </c>
      <c r="C43" s="7">
        <v>684.9</v>
      </c>
      <c r="D43" s="8" t="s">
        <v>323</v>
      </c>
      <c r="E43" s="8" t="s">
        <v>324</v>
      </c>
      <c r="F43" s="8" t="s">
        <v>325</v>
      </c>
      <c r="G43" s="6" t="s">
        <v>92</v>
      </c>
      <c r="H43" s="6" t="s">
        <v>38</v>
      </c>
      <c r="I43" s="8" t="s">
        <v>73</v>
      </c>
      <c r="J43" s="9">
        <v>1</v>
      </c>
      <c r="K43" s="9">
        <v>202</v>
      </c>
      <c r="L43" s="9">
        <v>2020</v>
      </c>
      <c r="M43" s="8" t="s">
        <v>326</v>
      </c>
      <c r="N43" s="8" t="s">
        <v>41</v>
      </c>
      <c r="O43" s="8" t="s">
        <v>42</v>
      </c>
      <c r="P43" s="6" t="s">
        <v>43</v>
      </c>
      <c r="Q43" s="8" t="s">
        <v>75</v>
      </c>
      <c r="R43" s="10" t="s">
        <v>327</v>
      </c>
      <c r="S43" s="11" t="s">
        <v>328</v>
      </c>
      <c r="T43" s="6"/>
      <c r="U43" s="27" t="str">
        <f>HYPERLINK("https://media.infra-m.ru/1073/1073653/cover/1073653.jpg", "Обложка")</f>
        <v>Обложка</v>
      </c>
      <c r="V43" s="27" t="str">
        <f>HYPERLINK("https://znanium.com/catalog/product/1903657", "Ознакомиться")</f>
        <v>Ознакомиться</v>
      </c>
      <c r="W43" s="8" t="s">
        <v>329</v>
      </c>
      <c r="X43" s="6"/>
      <c r="Y43" s="6"/>
      <c r="Z43" s="6"/>
      <c r="AA43" s="6" t="s">
        <v>330</v>
      </c>
    </row>
    <row r="44" spans="1:27" s="4" customFormat="1" ht="51.95" customHeight="1">
      <c r="A44" s="5">
        <v>0</v>
      </c>
      <c r="B44" s="6" t="s">
        <v>331</v>
      </c>
      <c r="C44" s="7">
        <v>600</v>
      </c>
      <c r="D44" s="8" t="s">
        <v>332</v>
      </c>
      <c r="E44" s="8" t="s">
        <v>333</v>
      </c>
      <c r="F44" s="8" t="s">
        <v>334</v>
      </c>
      <c r="G44" s="6" t="s">
        <v>119</v>
      </c>
      <c r="H44" s="6" t="s">
        <v>161</v>
      </c>
      <c r="I44" s="8" t="s">
        <v>53</v>
      </c>
      <c r="J44" s="9">
        <v>1</v>
      </c>
      <c r="K44" s="9">
        <v>128</v>
      </c>
      <c r="L44" s="9">
        <v>2024</v>
      </c>
      <c r="M44" s="8" t="s">
        <v>335</v>
      </c>
      <c r="N44" s="8" t="s">
        <v>41</v>
      </c>
      <c r="O44" s="8" t="s">
        <v>42</v>
      </c>
      <c r="P44" s="6" t="s">
        <v>43</v>
      </c>
      <c r="Q44" s="8" t="s">
        <v>56</v>
      </c>
      <c r="R44" s="10" t="s">
        <v>336</v>
      </c>
      <c r="S44" s="11" t="s">
        <v>337</v>
      </c>
      <c r="T44" s="6"/>
      <c r="U44" s="27" t="str">
        <f>HYPERLINK("https://media.infra-m.ru/2110/2110903/cover/2110903.jpg", "Обложка")</f>
        <v>Обложка</v>
      </c>
      <c r="V44" s="27" t="str">
        <f>HYPERLINK("https://znanium.com/catalog/product/2110903", "Ознакомиться")</f>
        <v>Ознакомиться</v>
      </c>
      <c r="W44" s="8" t="s">
        <v>338</v>
      </c>
      <c r="X44" s="6"/>
      <c r="Y44" s="6"/>
      <c r="Z44" s="6"/>
      <c r="AA44" s="6" t="s">
        <v>339</v>
      </c>
    </row>
    <row r="45" spans="1:27" s="4" customFormat="1" ht="51.95" customHeight="1">
      <c r="A45" s="5">
        <v>0</v>
      </c>
      <c r="B45" s="6" t="s">
        <v>340</v>
      </c>
      <c r="C45" s="7">
        <v>520</v>
      </c>
      <c r="D45" s="8" t="s">
        <v>341</v>
      </c>
      <c r="E45" s="8" t="s">
        <v>342</v>
      </c>
      <c r="F45" s="8" t="s">
        <v>343</v>
      </c>
      <c r="G45" s="6" t="s">
        <v>119</v>
      </c>
      <c r="H45" s="6" t="s">
        <v>209</v>
      </c>
      <c r="I45" s="8" t="s">
        <v>120</v>
      </c>
      <c r="J45" s="9">
        <v>1</v>
      </c>
      <c r="K45" s="9">
        <v>98</v>
      </c>
      <c r="L45" s="9">
        <v>2024</v>
      </c>
      <c r="M45" s="8" t="s">
        <v>344</v>
      </c>
      <c r="N45" s="8" t="s">
        <v>41</v>
      </c>
      <c r="O45" s="8" t="s">
        <v>42</v>
      </c>
      <c r="P45" s="6" t="s">
        <v>122</v>
      </c>
      <c r="Q45" s="8" t="s">
        <v>186</v>
      </c>
      <c r="R45" s="10" t="s">
        <v>345</v>
      </c>
      <c r="S45" s="11"/>
      <c r="T45" s="6"/>
      <c r="U45" s="27" t="str">
        <f>HYPERLINK("https://media.infra-m.ru/2079/2079623/cover/2079623.jpg", "Обложка")</f>
        <v>Обложка</v>
      </c>
      <c r="V45" s="27" t="str">
        <f>HYPERLINK("https://znanium.com/catalog/product/2079623", "Ознакомиться")</f>
        <v>Ознакомиться</v>
      </c>
      <c r="W45" s="8" t="s">
        <v>86</v>
      </c>
      <c r="X45" s="6"/>
      <c r="Y45" s="6"/>
      <c r="Z45" s="6"/>
      <c r="AA45" s="6" t="s">
        <v>346</v>
      </c>
    </row>
    <row r="46" spans="1:27" s="4" customFormat="1" ht="42" customHeight="1">
      <c r="A46" s="5">
        <v>0</v>
      </c>
      <c r="B46" s="6" t="s">
        <v>347</v>
      </c>
      <c r="C46" s="7">
        <v>349.9</v>
      </c>
      <c r="D46" s="8" t="s">
        <v>348</v>
      </c>
      <c r="E46" s="8" t="s">
        <v>349</v>
      </c>
      <c r="F46" s="8" t="s">
        <v>350</v>
      </c>
      <c r="G46" s="6" t="s">
        <v>26</v>
      </c>
      <c r="H46" s="6" t="s">
        <v>93</v>
      </c>
      <c r="I46" s="8" t="s">
        <v>351</v>
      </c>
      <c r="J46" s="9">
        <v>1</v>
      </c>
      <c r="K46" s="9">
        <v>192</v>
      </c>
      <c r="L46" s="9">
        <v>2015</v>
      </c>
      <c r="M46" s="8" t="s">
        <v>352</v>
      </c>
      <c r="N46" s="8" t="s">
        <v>41</v>
      </c>
      <c r="O46" s="8" t="s">
        <v>42</v>
      </c>
      <c r="P46" s="6" t="s">
        <v>43</v>
      </c>
      <c r="Q46" s="8" t="s">
        <v>75</v>
      </c>
      <c r="R46" s="10" t="s">
        <v>353</v>
      </c>
      <c r="S46" s="11"/>
      <c r="T46" s="6"/>
      <c r="U46" s="27" t="str">
        <f>HYPERLINK("https://media.infra-m.ru/0504/0504899/cover/504899.jpg", "Обложка")</f>
        <v>Обложка</v>
      </c>
      <c r="V46" s="27" t="str">
        <f>HYPERLINK("https://znanium.com/catalog/product/504899", "Ознакомиться")</f>
        <v>Ознакомиться</v>
      </c>
      <c r="W46" s="8" t="s">
        <v>354</v>
      </c>
      <c r="X46" s="6"/>
      <c r="Y46" s="6"/>
      <c r="Z46" s="6"/>
      <c r="AA46" s="6" t="s">
        <v>106</v>
      </c>
    </row>
    <row r="47" spans="1:27" s="4" customFormat="1" ht="51.95" customHeight="1">
      <c r="A47" s="5">
        <v>0</v>
      </c>
      <c r="B47" s="6" t="s">
        <v>355</v>
      </c>
      <c r="C47" s="13">
        <v>1180</v>
      </c>
      <c r="D47" s="8" t="s">
        <v>356</v>
      </c>
      <c r="E47" s="8" t="s">
        <v>357</v>
      </c>
      <c r="F47" s="8" t="s">
        <v>358</v>
      </c>
      <c r="G47" s="6" t="s">
        <v>37</v>
      </c>
      <c r="H47" s="6" t="s">
        <v>38</v>
      </c>
      <c r="I47" s="8" t="s">
        <v>73</v>
      </c>
      <c r="J47" s="9">
        <v>1</v>
      </c>
      <c r="K47" s="9">
        <v>256</v>
      </c>
      <c r="L47" s="9">
        <v>2023</v>
      </c>
      <c r="M47" s="8" t="s">
        <v>359</v>
      </c>
      <c r="N47" s="8" t="s">
        <v>41</v>
      </c>
      <c r="O47" s="8" t="s">
        <v>42</v>
      </c>
      <c r="P47" s="6" t="s">
        <v>55</v>
      </c>
      <c r="Q47" s="8" t="s">
        <v>75</v>
      </c>
      <c r="R47" s="10" t="s">
        <v>360</v>
      </c>
      <c r="S47" s="11" t="s">
        <v>361</v>
      </c>
      <c r="T47" s="6"/>
      <c r="U47" s="27" t="str">
        <f>HYPERLINK("https://media.infra-m.ru/1939/1939096/cover/1939096.jpg", "Обложка")</f>
        <v>Обложка</v>
      </c>
      <c r="V47" s="27" t="str">
        <f>HYPERLINK("https://znanium.com/catalog/product/1939096", "Ознакомиться")</f>
        <v>Ознакомиться</v>
      </c>
      <c r="W47" s="8" t="s">
        <v>362</v>
      </c>
      <c r="X47" s="6"/>
      <c r="Y47" s="6"/>
      <c r="Z47" s="6"/>
      <c r="AA47" s="6" t="s">
        <v>150</v>
      </c>
    </row>
    <row r="48" spans="1:27" s="4" customFormat="1" ht="51.95" customHeight="1">
      <c r="A48" s="5">
        <v>0</v>
      </c>
      <c r="B48" s="6" t="s">
        <v>363</v>
      </c>
      <c r="C48" s="13">
        <v>1150</v>
      </c>
      <c r="D48" s="8" t="s">
        <v>364</v>
      </c>
      <c r="E48" s="8" t="s">
        <v>357</v>
      </c>
      <c r="F48" s="8" t="s">
        <v>358</v>
      </c>
      <c r="G48" s="6" t="s">
        <v>37</v>
      </c>
      <c r="H48" s="6" t="s">
        <v>38</v>
      </c>
      <c r="I48" s="8" t="s">
        <v>53</v>
      </c>
      <c r="J48" s="9">
        <v>1</v>
      </c>
      <c r="K48" s="9">
        <v>256</v>
      </c>
      <c r="L48" s="9">
        <v>2023</v>
      </c>
      <c r="M48" s="8" t="s">
        <v>365</v>
      </c>
      <c r="N48" s="8" t="s">
        <v>41</v>
      </c>
      <c r="O48" s="8" t="s">
        <v>42</v>
      </c>
      <c r="P48" s="6" t="s">
        <v>55</v>
      </c>
      <c r="Q48" s="8" t="s">
        <v>56</v>
      </c>
      <c r="R48" s="10" t="s">
        <v>163</v>
      </c>
      <c r="S48" s="11" t="s">
        <v>366</v>
      </c>
      <c r="T48" s="6"/>
      <c r="U48" s="27" t="str">
        <f>HYPERLINK("https://media.infra-m.ru/1896/1896606/cover/1896606.jpg", "Обложка")</f>
        <v>Обложка</v>
      </c>
      <c r="V48" s="27" t="str">
        <f>HYPERLINK("https://znanium.com/catalog/product/1896606", "Ознакомиться")</f>
        <v>Ознакомиться</v>
      </c>
      <c r="W48" s="8" t="s">
        <v>362</v>
      </c>
      <c r="X48" s="6"/>
      <c r="Y48" s="6"/>
      <c r="Z48" s="6" t="s">
        <v>60</v>
      </c>
      <c r="AA48" s="6" t="s">
        <v>61</v>
      </c>
    </row>
    <row r="49" spans="1:27" s="4" customFormat="1" ht="51.95" customHeight="1">
      <c r="A49" s="5">
        <v>0</v>
      </c>
      <c r="B49" s="6" t="s">
        <v>367</v>
      </c>
      <c r="C49" s="13">
        <v>1650</v>
      </c>
      <c r="D49" s="8" t="s">
        <v>368</v>
      </c>
      <c r="E49" s="8" t="s">
        <v>369</v>
      </c>
      <c r="F49" s="8" t="s">
        <v>370</v>
      </c>
      <c r="G49" s="6" t="s">
        <v>37</v>
      </c>
      <c r="H49" s="6" t="s">
        <v>38</v>
      </c>
      <c r="I49" s="8" t="s">
        <v>53</v>
      </c>
      <c r="J49" s="9">
        <v>1</v>
      </c>
      <c r="K49" s="9">
        <v>355</v>
      </c>
      <c r="L49" s="9">
        <v>2023</v>
      </c>
      <c r="M49" s="8" t="s">
        <v>371</v>
      </c>
      <c r="N49" s="8" t="s">
        <v>41</v>
      </c>
      <c r="O49" s="8" t="s">
        <v>42</v>
      </c>
      <c r="P49" s="6" t="s">
        <v>43</v>
      </c>
      <c r="Q49" s="8" t="s">
        <v>56</v>
      </c>
      <c r="R49" s="10" t="s">
        <v>163</v>
      </c>
      <c r="S49" s="11" t="s">
        <v>372</v>
      </c>
      <c r="T49" s="6" t="s">
        <v>59</v>
      </c>
      <c r="U49" s="27" t="str">
        <f>HYPERLINK("https://media.infra-m.ru/2023/2023170/cover/2023170.jpg", "Обложка")</f>
        <v>Обложка</v>
      </c>
      <c r="V49" s="27" t="str">
        <f>HYPERLINK("https://znanium.com/catalog/product/2023170", "Ознакомиться")</f>
        <v>Ознакомиться</v>
      </c>
      <c r="W49" s="8" t="s">
        <v>373</v>
      </c>
      <c r="X49" s="6"/>
      <c r="Y49" s="6"/>
      <c r="Z49" s="6"/>
      <c r="AA49" s="6" t="s">
        <v>78</v>
      </c>
    </row>
    <row r="50" spans="1:27" s="4" customFormat="1" ht="51.95" customHeight="1">
      <c r="A50" s="5">
        <v>0</v>
      </c>
      <c r="B50" s="6" t="s">
        <v>374</v>
      </c>
      <c r="C50" s="7">
        <v>860</v>
      </c>
      <c r="D50" s="8" t="s">
        <v>375</v>
      </c>
      <c r="E50" s="8" t="s">
        <v>376</v>
      </c>
      <c r="F50" s="8" t="s">
        <v>377</v>
      </c>
      <c r="G50" s="6" t="s">
        <v>37</v>
      </c>
      <c r="H50" s="6" t="s">
        <v>38</v>
      </c>
      <c r="I50" s="8" t="s">
        <v>53</v>
      </c>
      <c r="J50" s="9">
        <v>1</v>
      </c>
      <c r="K50" s="9">
        <v>179</v>
      </c>
      <c r="L50" s="9">
        <v>2024</v>
      </c>
      <c r="M50" s="8" t="s">
        <v>378</v>
      </c>
      <c r="N50" s="8" t="s">
        <v>41</v>
      </c>
      <c r="O50" s="8" t="s">
        <v>42</v>
      </c>
      <c r="P50" s="6" t="s">
        <v>43</v>
      </c>
      <c r="Q50" s="8" t="s">
        <v>56</v>
      </c>
      <c r="R50" s="10" t="s">
        <v>379</v>
      </c>
      <c r="S50" s="11" t="s">
        <v>380</v>
      </c>
      <c r="T50" s="6"/>
      <c r="U50" s="27" t="str">
        <f>HYPERLINK("https://media.infra-m.ru/2094/2094373/cover/2094373.jpg", "Обложка")</f>
        <v>Обложка</v>
      </c>
      <c r="V50" s="27" t="str">
        <f>HYPERLINK("https://znanium.com/catalog/product/2094373", "Ознакомиться")</f>
        <v>Ознакомиться</v>
      </c>
      <c r="W50" s="8" t="s">
        <v>381</v>
      </c>
      <c r="X50" s="6"/>
      <c r="Y50" s="6"/>
      <c r="Z50" s="6" t="s">
        <v>60</v>
      </c>
      <c r="AA50" s="6" t="s">
        <v>382</v>
      </c>
    </row>
    <row r="51" spans="1:27" s="4" customFormat="1" ht="51.95" customHeight="1">
      <c r="A51" s="5">
        <v>0</v>
      </c>
      <c r="B51" s="6" t="s">
        <v>383</v>
      </c>
      <c r="C51" s="7">
        <v>844</v>
      </c>
      <c r="D51" s="8" t="s">
        <v>384</v>
      </c>
      <c r="E51" s="8" t="s">
        <v>376</v>
      </c>
      <c r="F51" s="8" t="s">
        <v>377</v>
      </c>
      <c r="G51" s="6" t="s">
        <v>37</v>
      </c>
      <c r="H51" s="6" t="s">
        <v>38</v>
      </c>
      <c r="I51" s="8" t="s">
        <v>73</v>
      </c>
      <c r="J51" s="9">
        <v>1</v>
      </c>
      <c r="K51" s="9">
        <v>179</v>
      </c>
      <c r="L51" s="9">
        <v>2024</v>
      </c>
      <c r="M51" s="8" t="s">
        <v>385</v>
      </c>
      <c r="N51" s="8" t="s">
        <v>41</v>
      </c>
      <c r="O51" s="8" t="s">
        <v>42</v>
      </c>
      <c r="P51" s="6" t="s">
        <v>43</v>
      </c>
      <c r="Q51" s="8" t="s">
        <v>75</v>
      </c>
      <c r="R51" s="10" t="s">
        <v>386</v>
      </c>
      <c r="S51" s="11" t="s">
        <v>387</v>
      </c>
      <c r="T51" s="6"/>
      <c r="U51" s="27" t="str">
        <f>HYPERLINK("https://media.infra-m.ru/2094/2094601/cover/2094601.jpg", "Обложка")</f>
        <v>Обложка</v>
      </c>
      <c r="V51" s="27" t="str">
        <f>HYPERLINK("https://znanium.com/catalog/product/1058887", "Ознакомиться")</f>
        <v>Ознакомиться</v>
      </c>
      <c r="W51" s="8" t="s">
        <v>381</v>
      </c>
      <c r="X51" s="6"/>
      <c r="Y51" s="6"/>
      <c r="Z51" s="6"/>
      <c r="AA51" s="6" t="s">
        <v>382</v>
      </c>
    </row>
    <row r="52" spans="1:27" s="4" customFormat="1" ht="42" customHeight="1">
      <c r="A52" s="5">
        <v>0</v>
      </c>
      <c r="B52" s="6" t="s">
        <v>388</v>
      </c>
      <c r="C52" s="13">
        <v>1120</v>
      </c>
      <c r="D52" s="8" t="s">
        <v>389</v>
      </c>
      <c r="E52" s="8" t="s">
        <v>390</v>
      </c>
      <c r="F52" s="8" t="s">
        <v>391</v>
      </c>
      <c r="G52" s="6" t="s">
        <v>37</v>
      </c>
      <c r="H52" s="6" t="s">
        <v>38</v>
      </c>
      <c r="I52" s="8" t="s">
        <v>392</v>
      </c>
      <c r="J52" s="9">
        <v>1</v>
      </c>
      <c r="K52" s="9">
        <v>247</v>
      </c>
      <c r="L52" s="9">
        <v>2023</v>
      </c>
      <c r="M52" s="8" t="s">
        <v>393</v>
      </c>
      <c r="N52" s="8" t="s">
        <v>41</v>
      </c>
      <c r="O52" s="8" t="s">
        <v>42</v>
      </c>
      <c r="P52" s="6" t="s">
        <v>394</v>
      </c>
      <c r="Q52" s="8" t="s">
        <v>286</v>
      </c>
      <c r="R52" s="10" t="s">
        <v>395</v>
      </c>
      <c r="S52" s="11"/>
      <c r="T52" s="6"/>
      <c r="U52" s="27" t="str">
        <f>HYPERLINK("https://media.infra-m.ru/2019/2019765/cover/2019765.jpg", "Обложка")</f>
        <v>Обложка</v>
      </c>
      <c r="V52" s="27" t="str">
        <f>HYPERLINK("https://znanium.com/catalog/product/2019765", "Ознакомиться")</f>
        <v>Ознакомиться</v>
      </c>
      <c r="W52" s="8" t="s">
        <v>221</v>
      </c>
      <c r="X52" s="6"/>
      <c r="Y52" s="6"/>
      <c r="Z52" s="6"/>
      <c r="AA52" s="6" t="s">
        <v>126</v>
      </c>
    </row>
    <row r="53" spans="1:27" s="4" customFormat="1" ht="51.95" customHeight="1">
      <c r="A53" s="5">
        <v>0</v>
      </c>
      <c r="B53" s="6" t="s">
        <v>396</v>
      </c>
      <c r="C53" s="13">
        <v>1500</v>
      </c>
      <c r="D53" s="8" t="s">
        <v>397</v>
      </c>
      <c r="E53" s="8" t="s">
        <v>398</v>
      </c>
      <c r="F53" s="8" t="s">
        <v>399</v>
      </c>
      <c r="G53" s="6" t="s">
        <v>37</v>
      </c>
      <c r="H53" s="6" t="s">
        <v>38</v>
      </c>
      <c r="I53" s="8" t="s">
        <v>132</v>
      </c>
      <c r="J53" s="9">
        <v>1</v>
      </c>
      <c r="K53" s="9">
        <v>326</v>
      </c>
      <c r="L53" s="9">
        <v>2024</v>
      </c>
      <c r="M53" s="8" t="s">
        <v>400</v>
      </c>
      <c r="N53" s="8" t="s">
        <v>41</v>
      </c>
      <c r="O53" s="8" t="s">
        <v>401</v>
      </c>
      <c r="P53" s="6" t="s">
        <v>43</v>
      </c>
      <c r="Q53" s="8" t="s">
        <v>286</v>
      </c>
      <c r="R53" s="10" t="s">
        <v>402</v>
      </c>
      <c r="S53" s="11" t="s">
        <v>403</v>
      </c>
      <c r="T53" s="6"/>
      <c r="U53" s="27" t="str">
        <f>HYPERLINK("https://media.infra-m.ru/2111/2111930/cover/2111930.jpg", "Обложка")</f>
        <v>Обложка</v>
      </c>
      <c r="V53" s="27" t="str">
        <f>HYPERLINK("https://znanium.com/catalog/product/2111930", "Ознакомиться")</f>
        <v>Ознакомиться</v>
      </c>
      <c r="W53" s="8" t="s">
        <v>404</v>
      </c>
      <c r="X53" s="6"/>
      <c r="Y53" s="6"/>
      <c r="Z53" s="6"/>
      <c r="AA53" s="6" t="s">
        <v>405</v>
      </c>
    </row>
    <row r="54" spans="1:27" s="4" customFormat="1" ht="51.95" customHeight="1">
      <c r="A54" s="5">
        <v>0</v>
      </c>
      <c r="B54" s="6" t="s">
        <v>406</v>
      </c>
      <c r="C54" s="13">
        <v>1360</v>
      </c>
      <c r="D54" s="8" t="s">
        <v>407</v>
      </c>
      <c r="E54" s="8" t="s">
        <v>408</v>
      </c>
      <c r="F54" s="8" t="s">
        <v>409</v>
      </c>
      <c r="G54" s="6" t="s">
        <v>37</v>
      </c>
      <c r="H54" s="6" t="s">
        <v>38</v>
      </c>
      <c r="I54" s="8"/>
      <c r="J54" s="9">
        <v>1</v>
      </c>
      <c r="K54" s="9">
        <v>352</v>
      </c>
      <c r="L54" s="9">
        <v>2022</v>
      </c>
      <c r="M54" s="8" t="s">
        <v>410</v>
      </c>
      <c r="N54" s="8" t="s">
        <v>41</v>
      </c>
      <c r="O54" s="8" t="s">
        <v>401</v>
      </c>
      <c r="P54" s="6" t="s">
        <v>43</v>
      </c>
      <c r="Q54" s="8" t="s">
        <v>75</v>
      </c>
      <c r="R54" s="10" t="s">
        <v>402</v>
      </c>
      <c r="S54" s="11" t="s">
        <v>411</v>
      </c>
      <c r="T54" s="6"/>
      <c r="U54" s="27" t="str">
        <f>HYPERLINK("https://media.infra-m.ru/1855/1855501/cover/1855501.jpg", "Обложка")</f>
        <v>Обложка</v>
      </c>
      <c r="V54" s="27" t="str">
        <f>HYPERLINK("https://znanium.com/catalog/product/2111930", "Ознакомиться")</f>
        <v>Ознакомиться</v>
      </c>
      <c r="W54" s="8" t="s">
        <v>404</v>
      </c>
      <c r="X54" s="6"/>
      <c r="Y54" s="6"/>
      <c r="Z54" s="6"/>
      <c r="AA54" s="6" t="s">
        <v>106</v>
      </c>
    </row>
    <row r="55" spans="1:27" s="4" customFormat="1" ht="51.95" customHeight="1">
      <c r="A55" s="5">
        <v>0</v>
      </c>
      <c r="B55" s="6" t="s">
        <v>412</v>
      </c>
      <c r="C55" s="13">
        <v>1120</v>
      </c>
      <c r="D55" s="8" t="s">
        <v>413</v>
      </c>
      <c r="E55" s="8" t="s">
        <v>414</v>
      </c>
      <c r="F55" s="8" t="s">
        <v>415</v>
      </c>
      <c r="G55" s="6" t="s">
        <v>37</v>
      </c>
      <c r="H55" s="6" t="s">
        <v>38</v>
      </c>
      <c r="I55" s="8" t="s">
        <v>53</v>
      </c>
      <c r="J55" s="9">
        <v>1</v>
      </c>
      <c r="K55" s="9">
        <v>242</v>
      </c>
      <c r="L55" s="9">
        <v>2024</v>
      </c>
      <c r="M55" s="8" t="s">
        <v>416</v>
      </c>
      <c r="N55" s="8" t="s">
        <v>41</v>
      </c>
      <c r="O55" s="8" t="s">
        <v>42</v>
      </c>
      <c r="P55" s="6" t="s">
        <v>55</v>
      </c>
      <c r="Q55" s="8" t="s">
        <v>56</v>
      </c>
      <c r="R55" s="10" t="s">
        <v>417</v>
      </c>
      <c r="S55" s="11" t="s">
        <v>418</v>
      </c>
      <c r="T55" s="6" t="s">
        <v>59</v>
      </c>
      <c r="U55" s="27" t="str">
        <f>HYPERLINK("https://media.infra-m.ru/2073/2073488/cover/2073488.jpg", "Обложка")</f>
        <v>Обложка</v>
      </c>
      <c r="V55" s="27" t="str">
        <f>HYPERLINK("https://znanium.com/catalog/product/2073488", "Ознакомиться")</f>
        <v>Ознакомиться</v>
      </c>
      <c r="W55" s="8" t="s">
        <v>419</v>
      </c>
      <c r="X55" s="6"/>
      <c r="Y55" s="6"/>
      <c r="Z55" s="6"/>
      <c r="AA55" s="6" t="s">
        <v>405</v>
      </c>
    </row>
    <row r="56" spans="1:27" s="4" customFormat="1" ht="51.95" customHeight="1">
      <c r="A56" s="5">
        <v>0</v>
      </c>
      <c r="B56" s="6" t="s">
        <v>420</v>
      </c>
      <c r="C56" s="7">
        <v>704.9</v>
      </c>
      <c r="D56" s="8" t="s">
        <v>421</v>
      </c>
      <c r="E56" s="8" t="s">
        <v>422</v>
      </c>
      <c r="F56" s="8" t="s">
        <v>423</v>
      </c>
      <c r="G56" s="6" t="s">
        <v>92</v>
      </c>
      <c r="H56" s="6" t="s">
        <v>424</v>
      </c>
      <c r="I56" s="8" t="s">
        <v>425</v>
      </c>
      <c r="J56" s="9">
        <v>1</v>
      </c>
      <c r="K56" s="9">
        <v>240</v>
      </c>
      <c r="L56" s="9">
        <v>2018</v>
      </c>
      <c r="M56" s="8" t="s">
        <v>426</v>
      </c>
      <c r="N56" s="8" t="s">
        <v>41</v>
      </c>
      <c r="O56" s="8" t="s">
        <v>42</v>
      </c>
      <c r="P56" s="6" t="s">
        <v>55</v>
      </c>
      <c r="Q56" s="8" t="s">
        <v>56</v>
      </c>
      <c r="R56" s="10" t="s">
        <v>417</v>
      </c>
      <c r="S56" s="11" t="s">
        <v>427</v>
      </c>
      <c r="T56" s="6" t="s">
        <v>59</v>
      </c>
      <c r="U56" s="27" t="str">
        <f>HYPERLINK("https://media.infra-m.ru/0958/0958782/cover/958782.jpg", "Обложка")</f>
        <v>Обложка</v>
      </c>
      <c r="V56" s="27" t="str">
        <f>HYPERLINK("https://znanium.com/catalog/product/2073488", "Ознакомиться")</f>
        <v>Ознакомиться</v>
      </c>
      <c r="W56" s="8" t="s">
        <v>419</v>
      </c>
      <c r="X56" s="6"/>
      <c r="Y56" s="6"/>
      <c r="Z56" s="6"/>
      <c r="AA56" s="6" t="s">
        <v>114</v>
      </c>
    </row>
    <row r="57" spans="1:27" s="4" customFormat="1" ht="42" customHeight="1">
      <c r="A57" s="5">
        <v>0</v>
      </c>
      <c r="B57" s="6" t="s">
        <v>428</v>
      </c>
      <c r="C57" s="13">
        <v>1050</v>
      </c>
      <c r="D57" s="8" t="s">
        <v>429</v>
      </c>
      <c r="E57" s="8" t="s">
        <v>430</v>
      </c>
      <c r="F57" s="8" t="s">
        <v>431</v>
      </c>
      <c r="G57" s="6" t="s">
        <v>119</v>
      </c>
      <c r="H57" s="6" t="s">
        <v>38</v>
      </c>
      <c r="I57" s="8" t="s">
        <v>120</v>
      </c>
      <c r="J57" s="9">
        <v>1</v>
      </c>
      <c r="K57" s="9">
        <v>222</v>
      </c>
      <c r="L57" s="9">
        <v>2024</v>
      </c>
      <c r="M57" s="8" t="s">
        <v>432</v>
      </c>
      <c r="N57" s="8" t="s">
        <v>41</v>
      </c>
      <c r="O57" s="8" t="s">
        <v>42</v>
      </c>
      <c r="P57" s="6" t="s">
        <v>122</v>
      </c>
      <c r="Q57" s="8" t="s">
        <v>123</v>
      </c>
      <c r="R57" s="10" t="s">
        <v>433</v>
      </c>
      <c r="S57" s="11"/>
      <c r="T57" s="6"/>
      <c r="U57" s="27" t="str">
        <f>HYPERLINK("https://media.infra-m.ru/2032/2032519/cover/2032519.jpg", "Обложка")</f>
        <v>Обложка</v>
      </c>
      <c r="V57" s="27" t="str">
        <f>HYPERLINK("https://znanium.com/catalog/product/2032519", "Ознакомиться")</f>
        <v>Ознакомиться</v>
      </c>
      <c r="W57" s="8" t="s">
        <v>46</v>
      </c>
      <c r="X57" s="6" t="s">
        <v>434</v>
      </c>
      <c r="Y57" s="6"/>
      <c r="Z57" s="6"/>
      <c r="AA57" s="6" t="s">
        <v>435</v>
      </c>
    </row>
    <row r="58" spans="1:27" s="4" customFormat="1" ht="51.95" customHeight="1">
      <c r="A58" s="5">
        <v>0</v>
      </c>
      <c r="B58" s="6" t="s">
        <v>436</v>
      </c>
      <c r="C58" s="13">
        <v>1650</v>
      </c>
      <c r="D58" s="8" t="s">
        <v>437</v>
      </c>
      <c r="E58" s="8" t="s">
        <v>438</v>
      </c>
      <c r="F58" s="8" t="s">
        <v>439</v>
      </c>
      <c r="G58" s="6" t="s">
        <v>37</v>
      </c>
      <c r="H58" s="6" t="s">
        <v>38</v>
      </c>
      <c r="I58" s="8" t="s">
        <v>73</v>
      </c>
      <c r="J58" s="9">
        <v>1</v>
      </c>
      <c r="K58" s="9">
        <v>343</v>
      </c>
      <c r="L58" s="9">
        <v>2023</v>
      </c>
      <c r="M58" s="8" t="s">
        <v>440</v>
      </c>
      <c r="N58" s="8" t="s">
        <v>41</v>
      </c>
      <c r="O58" s="8" t="s">
        <v>42</v>
      </c>
      <c r="P58" s="6" t="s">
        <v>55</v>
      </c>
      <c r="Q58" s="8" t="s">
        <v>75</v>
      </c>
      <c r="R58" s="10" t="s">
        <v>441</v>
      </c>
      <c r="S58" s="11" t="s">
        <v>442</v>
      </c>
      <c r="T58" s="6" t="s">
        <v>59</v>
      </c>
      <c r="U58" s="27" t="str">
        <f>HYPERLINK("https://media.infra-m.ru/1904/1904453/cover/1904453.jpg", "Обложка")</f>
        <v>Обложка</v>
      </c>
      <c r="V58" s="27" t="str">
        <f>HYPERLINK("https://znanium.com/catalog/product/1904453", "Ознакомиться")</f>
        <v>Ознакомиться</v>
      </c>
      <c r="W58" s="8" t="s">
        <v>443</v>
      </c>
      <c r="X58" s="6"/>
      <c r="Y58" s="6"/>
      <c r="Z58" s="6"/>
      <c r="AA58" s="6" t="s">
        <v>444</v>
      </c>
    </row>
    <row r="59" spans="1:27" s="4" customFormat="1" ht="42" customHeight="1">
      <c r="A59" s="5">
        <v>0</v>
      </c>
      <c r="B59" s="6" t="s">
        <v>445</v>
      </c>
      <c r="C59" s="13">
        <v>1290</v>
      </c>
      <c r="D59" s="8" t="s">
        <v>446</v>
      </c>
      <c r="E59" s="8" t="s">
        <v>447</v>
      </c>
      <c r="F59" s="8" t="s">
        <v>448</v>
      </c>
      <c r="G59" s="6" t="s">
        <v>119</v>
      </c>
      <c r="H59" s="6" t="s">
        <v>38</v>
      </c>
      <c r="I59" s="8" t="s">
        <v>120</v>
      </c>
      <c r="J59" s="9">
        <v>1</v>
      </c>
      <c r="K59" s="9">
        <v>282</v>
      </c>
      <c r="L59" s="9">
        <v>2020</v>
      </c>
      <c r="M59" s="8" t="s">
        <v>449</v>
      </c>
      <c r="N59" s="8" t="s">
        <v>41</v>
      </c>
      <c r="O59" s="8" t="s">
        <v>42</v>
      </c>
      <c r="P59" s="6" t="s">
        <v>122</v>
      </c>
      <c r="Q59" s="8" t="s">
        <v>123</v>
      </c>
      <c r="R59" s="10" t="s">
        <v>450</v>
      </c>
      <c r="S59" s="11"/>
      <c r="T59" s="6"/>
      <c r="U59" s="27" t="str">
        <f>HYPERLINK("https://media.infra-m.ru/1073/1073961/cover/1073961.jpg", "Обложка")</f>
        <v>Обложка</v>
      </c>
      <c r="V59" s="27" t="str">
        <f>HYPERLINK("https://znanium.com/catalog/product/1073961", "Ознакомиться")</f>
        <v>Ознакомиться</v>
      </c>
      <c r="W59" s="8" t="s">
        <v>188</v>
      </c>
      <c r="X59" s="6"/>
      <c r="Y59" s="6"/>
      <c r="Z59" s="6"/>
      <c r="AA59" s="6" t="s">
        <v>451</v>
      </c>
    </row>
    <row r="60" spans="1:27" s="4" customFormat="1" ht="51.95" customHeight="1">
      <c r="A60" s="5">
        <v>0</v>
      </c>
      <c r="B60" s="6" t="s">
        <v>452</v>
      </c>
      <c r="C60" s="13">
        <v>1510</v>
      </c>
      <c r="D60" s="8" t="s">
        <v>453</v>
      </c>
      <c r="E60" s="8" t="s">
        <v>454</v>
      </c>
      <c r="F60" s="8" t="s">
        <v>455</v>
      </c>
      <c r="G60" s="6" t="s">
        <v>37</v>
      </c>
      <c r="H60" s="6" t="s">
        <v>38</v>
      </c>
      <c r="I60" s="8" t="s">
        <v>73</v>
      </c>
      <c r="J60" s="9">
        <v>1</v>
      </c>
      <c r="K60" s="9">
        <v>320</v>
      </c>
      <c r="L60" s="9">
        <v>2023</v>
      </c>
      <c r="M60" s="8" t="s">
        <v>456</v>
      </c>
      <c r="N60" s="8" t="s">
        <v>41</v>
      </c>
      <c r="O60" s="8" t="s">
        <v>42</v>
      </c>
      <c r="P60" s="6" t="s">
        <v>457</v>
      </c>
      <c r="Q60" s="8" t="s">
        <v>75</v>
      </c>
      <c r="R60" s="10" t="s">
        <v>458</v>
      </c>
      <c r="S60" s="11" t="s">
        <v>459</v>
      </c>
      <c r="T60" s="6"/>
      <c r="U60" s="27" t="str">
        <f>HYPERLINK("https://media.infra-m.ru/2111/2111782/cover/2111782.jpg", "Обложка")</f>
        <v>Обложка</v>
      </c>
      <c r="V60" s="27" t="str">
        <f>HYPERLINK("https://znanium.com/catalog/product/1859082", "Ознакомиться")</f>
        <v>Ознакомиться</v>
      </c>
      <c r="W60" s="8" t="s">
        <v>460</v>
      </c>
      <c r="X60" s="6"/>
      <c r="Y60" s="6"/>
      <c r="Z60" s="6"/>
      <c r="AA60" s="6" t="s">
        <v>461</v>
      </c>
    </row>
    <row r="61" spans="1:27" s="4" customFormat="1" ht="33" customHeight="1">
      <c r="A61" s="5">
        <v>0</v>
      </c>
      <c r="B61" s="6" t="s">
        <v>462</v>
      </c>
      <c r="C61" s="7">
        <v>184.9</v>
      </c>
      <c r="D61" s="8" t="s">
        <v>463</v>
      </c>
      <c r="E61" s="8" t="s">
        <v>464</v>
      </c>
      <c r="F61" s="8"/>
      <c r="G61" s="6" t="s">
        <v>119</v>
      </c>
      <c r="H61" s="6" t="s">
        <v>209</v>
      </c>
      <c r="I61" s="8" t="s">
        <v>465</v>
      </c>
      <c r="J61" s="9">
        <v>1</v>
      </c>
      <c r="K61" s="9">
        <v>127</v>
      </c>
      <c r="L61" s="9">
        <v>2023</v>
      </c>
      <c r="M61" s="8" t="s">
        <v>466</v>
      </c>
      <c r="N61" s="8" t="s">
        <v>41</v>
      </c>
      <c r="O61" s="8" t="s">
        <v>42</v>
      </c>
      <c r="P61" s="6" t="s">
        <v>467</v>
      </c>
      <c r="Q61" s="8" t="s">
        <v>75</v>
      </c>
      <c r="R61" s="10" t="s">
        <v>468</v>
      </c>
      <c r="S61" s="11"/>
      <c r="T61" s="6"/>
      <c r="U61" s="12"/>
      <c r="V61" s="27" t="str">
        <f>HYPERLINK("https://znanium.com/catalog/product/251865", "Ознакомиться")</f>
        <v>Ознакомиться</v>
      </c>
      <c r="W61" s="8"/>
      <c r="X61" s="6"/>
      <c r="Y61" s="6"/>
      <c r="Z61" s="6"/>
      <c r="AA61" s="6" t="s">
        <v>469</v>
      </c>
    </row>
    <row r="62" spans="1:27" s="4" customFormat="1" ht="51.95" customHeight="1">
      <c r="A62" s="5">
        <v>0</v>
      </c>
      <c r="B62" s="6" t="s">
        <v>470</v>
      </c>
      <c r="C62" s="7">
        <v>734</v>
      </c>
      <c r="D62" s="8" t="s">
        <v>471</v>
      </c>
      <c r="E62" s="8" t="s">
        <v>472</v>
      </c>
      <c r="F62" s="8" t="s">
        <v>473</v>
      </c>
      <c r="G62" s="6" t="s">
        <v>119</v>
      </c>
      <c r="H62" s="6" t="s">
        <v>93</v>
      </c>
      <c r="I62" s="8" t="s">
        <v>474</v>
      </c>
      <c r="J62" s="9">
        <v>1</v>
      </c>
      <c r="K62" s="9">
        <v>152</v>
      </c>
      <c r="L62" s="9">
        <v>2023</v>
      </c>
      <c r="M62" s="8" t="s">
        <v>475</v>
      </c>
      <c r="N62" s="8" t="s">
        <v>41</v>
      </c>
      <c r="O62" s="8" t="s">
        <v>42</v>
      </c>
      <c r="P62" s="6" t="s">
        <v>43</v>
      </c>
      <c r="Q62" s="8" t="s">
        <v>75</v>
      </c>
      <c r="R62" s="10" t="s">
        <v>476</v>
      </c>
      <c r="S62" s="11"/>
      <c r="T62" s="6"/>
      <c r="U62" s="27" t="str">
        <f>HYPERLINK("https://media.infra-m.ru/2109/2109056/cover/2109056.jpg", "Обложка")</f>
        <v>Обложка</v>
      </c>
      <c r="V62" s="27" t="str">
        <f>HYPERLINK("https://znanium.com/catalog/product/2086800", "Ознакомиться")</f>
        <v>Ознакомиться</v>
      </c>
      <c r="W62" s="8"/>
      <c r="X62" s="6"/>
      <c r="Y62" s="6"/>
      <c r="Z62" s="6"/>
      <c r="AA62" s="6" t="s">
        <v>222</v>
      </c>
    </row>
    <row r="63" spans="1:27" s="4" customFormat="1" ht="51.95" customHeight="1">
      <c r="A63" s="5">
        <v>0</v>
      </c>
      <c r="B63" s="6" t="s">
        <v>477</v>
      </c>
      <c r="C63" s="7">
        <v>810</v>
      </c>
      <c r="D63" s="8" t="s">
        <v>478</v>
      </c>
      <c r="E63" s="8" t="s">
        <v>479</v>
      </c>
      <c r="F63" s="8" t="s">
        <v>480</v>
      </c>
      <c r="G63" s="6" t="s">
        <v>119</v>
      </c>
      <c r="H63" s="6" t="s">
        <v>93</v>
      </c>
      <c r="I63" s="8" t="s">
        <v>351</v>
      </c>
      <c r="J63" s="9">
        <v>1</v>
      </c>
      <c r="K63" s="9">
        <v>176</v>
      </c>
      <c r="L63" s="9">
        <v>2024</v>
      </c>
      <c r="M63" s="8" t="s">
        <v>481</v>
      </c>
      <c r="N63" s="8" t="s">
        <v>41</v>
      </c>
      <c r="O63" s="8" t="s">
        <v>42</v>
      </c>
      <c r="P63" s="6" t="s">
        <v>43</v>
      </c>
      <c r="Q63" s="8" t="s">
        <v>75</v>
      </c>
      <c r="R63" s="10" t="s">
        <v>482</v>
      </c>
      <c r="S63" s="11" t="s">
        <v>483</v>
      </c>
      <c r="T63" s="6"/>
      <c r="U63" s="27" t="str">
        <f>HYPERLINK("https://media.infra-m.ru/2117/2117171/cover/2117171.jpg", "Обложка")</f>
        <v>Обложка</v>
      </c>
      <c r="V63" s="27" t="str">
        <f>HYPERLINK("https://znanium.com/catalog/product/1429047", "Ознакомиться")</f>
        <v>Ознакомиться</v>
      </c>
      <c r="W63" s="8" t="s">
        <v>306</v>
      </c>
      <c r="X63" s="6"/>
      <c r="Y63" s="6"/>
      <c r="Z63" s="6"/>
      <c r="AA63" s="6" t="s">
        <v>150</v>
      </c>
    </row>
    <row r="64" spans="1:27" s="4" customFormat="1" ht="42" customHeight="1">
      <c r="A64" s="5">
        <v>0</v>
      </c>
      <c r="B64" s="6" t="s">
        <v>484</v>
      </c>
      <c r="C64" s="7">
        <v>950</v>
      </c>
      <c r="D64" s="8" t="s">
        <v>485</v>
      </c>
      <c r="E64" s="8" t="s">
        <v>486</v>
      </c>
      <c r="F64" s="8" t="s">
        <v>487</v>
      </c>
      <c r="G64" s="6" t="s">
        <v>119</v>
      </c>
      <c r="H64" s="6" t="s">
        <v>38</v>
      </c>
      <c r="I64" s="8" t="s">
        <v>120</v>
      </c>
      <c r="J64" s="9">
        <v>1</v>
      </c>
      <c r="K64" s="9">
        <v>251</v>
      </c>
      <c r="L64" s="9">
        <v>2021</v>
      </c>
      <c r="M64" s="8" t="s">
        <v>488</v>
      </c>
      <c r="N64" s="8" t="s">
        <v>41</v>
      </c>
      <c r="O64" s="8" t="s">
        <v>42</v>
      </c>
      <c r="P64" s="6" t="s">
        <v>122</v>
      </c>
      <c r="Q64" s="8" t="s">
        <v>123</v>
      </c>
      <c r="R64" s="10" t="s">
        <v>489</v>
      </c>
      <c r="S64" s="11"/>
      <c r="T64" s="6"/>
      <c r="U64" s="27" t="str">
        <f>HYPERLINK("https://media.infra-m.ru/1154/1154382/cover/1154382.jpg", "Обложка")</f>
        <v>Обложка</v>
      </c>
      <c r="V64" s="27" t="str">
        <f>HYPERLINK("https://znanium.com/catalog/product/1154382", "Ознакомиться")</f>
        <v>Ознакомиться</v>
      </c>
      <c r="W64" s="8"/>
      <c r="X64" s="6"/>
      <c r="Y64" s="6"/>
      <c r="Z64" s="6"/>
      <c r="AA64" s="6" t="s">
        <v>299</v>
      </c>
    </row>
    <row r="65" spans="1:27" s="4" customFormat="1" ht="51.95" customHeight="1">
      <c r="A65" s="5">
        <v>0</v>
      </c>
      <c r="B65" s="6" t="s">
        <v>490</v>
      </c>
      <c r="C65" s="7">
        <v>490</v>
      </c>
      <c r="D65" s="8" t="s">
        <v>491</v>
      </c>
      <c r="E65" s="8" t="s">
        <v>492</v>
      </c>
      <c r="F65" s="8" t="s">
        <v>493</v>
      </c>
      <c r="G65" s="6" t="s">
        <v>119</v>
      </c>
      <c r="H65" s="6" t="s">
        <v>209</v>
      </c>
      <c r="I65" s="8" t="s">
        <v>120</v>
      </c>
      <c r="J65" s="9">
        <v>1</v>
      </c>
      <c r="K65" s="9">
        <v>100</v>
      </c>
      <c r="L65" s="9">
        <v>2023</v>
      </c>
      <c r="M65" s="8" t="s">
        <v>494</v>
      </c>
      <c r="N65" s="8" t="s">
        <v>41</v>
      </c>
      <c r="O65" s="8" t="s">
        <v>42</v>
      </c>
      <c r="P65" s="6" t="s">
        <v>122</v>
      </c>
      <c r="Q65" s="8" t="s">
        <v>123</v>
      </c>
      <c r="R65" s="10" t="s">
        <v>495</v>
      </c>
      <c r="S65" s="11"/>
      <c r="T65" s="6"/>
      <c r="U65" s="27" t="str">
        <f>HYPERLINK("https://media.infra-m.ru/2038/2038254/cover/2038254.jpg", "Обложка")</f>
        <v>Обложка</v>
      </c>
      <c r="V65" s="27" t="str">
        <f>HYPERLINK("https://znanium.com/catalog/product/2038254", "Ознакомиться")</f>
        <v>Ознакомиться</v>
      </c>
      <c r="W65" s="8" t="s">
        <v>496</v>
      </c>
      <c r="X65" s="6"/>
      <c r="Y65" s="6"/>
      <c r="Z65" s="6"/>
      <c r="AA65" s="6" t="s">
        <v>106</v>
      </c>
    </row>
    <row r="66" spans="1:27" s="4" customFormat="1" ht="51.95" customHeight="1">
      <c r="A66" s="5">
        <v>0</v>
      </c>
      <c r="B66" s="6" t="s">
        <v>497</v>
      </c>
      <c r="C66" s="7">
        <v>490</v>
      </c>
      <c r="D66" s="8" t="s">
        <v>498</v>
      </c>
      <c r="E66" s="8" t="s">
        <v>499</v>
      </c>
      <c r="F66" s="8" t="s">
        <v>500</v>
      </c>
      <c r="G66" s="6" t="s">
        <v>119</v>
      </c>
      <c r="H66" s="6" t="s">
        <v>38</v>
      </c>
      <c r="I66" s="8" t="s">
        <v>73</v>
      </c>
      <c r="J66" s="9">
        <v>1</v>
      </c>
      <c r="K66" s="9">
        <v>99</v>
      </c>
      <c r="L66" s="9">
        <v>2020</v>
      </c>
      <c r="M66" s="8" t="s">
        <v>501</v>
      </c>
      <c r="N66" s="8" t="s">
        <v>41</v>
      </c>
      <c r="O66" s="8" t="s">
        <v>502</v>
      </c>
      <c r="P66" s="6" t="s">
        <v>43</v>
      </c>
      <c r="Q66" s="8" t="s">
        <v>75</v>
      </c>
      <c r="R66" s="10" t="s">
        <v>503</v>
      </c>
      <c r="S66" s="11" t="s">
        <v>504</v>
      </c>
      <c r="T66" s="6"/>
      <c r="U66" s="27" t="str">
        <f>HYPERLINK("https://media.infra-m.ru/1942/1942688/cover/1942688.jpg", "Обложка")</f>
        <v>Обложка</v>
      </c>
      <c r="V66" s="27" t="str">
        <f>HYPERLINK("https://znanium.com/catalog/product/912747", "Ознакомиться")</f>
        <v>Ознакомиться</v>
      </c>
      <c r="W66" s="8" t="s">
        <v>505</v>
      </c>
      <c r="X66" s="6"/>
      <c r="Y66" s="6"/>
      <c r="Z66" s="6"/>
      <c r="AA66" s="6" t="s">
        <v>222</v>
      </c>
    </row>
    <row r="67" spans="1:27" s="4" customFormat="1" ht="51.95" customHeight="1">
      <c r="A67" s="5">
        <v>0</v>
      </c>
      <c r="B67" s="6" t="s">
        <v>506</v>
      </c>
      <c r="C67" s="7">
        <v>490</v>
      </c>
      <c r="D67" s="8" t="s">
        <v>507</v>
      </c>
      <c r="E67" s="8" t="s">
        <v>499</v>
      </c>
      <c r="F67" s="8" t="s">
        <v>500</v>
      </c>
      <c r="G67" s="6" t="s">
        <v>119</v>
      </c>
      <c r="H67" s="6" t="s">
        <v>38</v>
      </c>
      <c r="I67" s="8" t="s">
        <v>53</v>
      </c>
      <c r="J67" s="9">
        <v>1</v>
      </c>
      <c r="K67" s="9">
        <v>99</v>
      </c>
      <c r="L67" s="9">
        <v>2024</v>
      </c>
      <c r="M67" s="8" t="s">
        <v>508</v>
      </c>
      <c r="N67" s="8" t="s">
        <v>41</v>
      </c>
      <c r="O67" s="8" t="s">
        <v>502</v>
      </c>
      <c r="P67" s="6" t="s">
        <v>43</v>
      </c>
      <c r="Q67" s="8" t="s">
        <v>56</v>
      </c>
      <c r="R67" s="10" t="s">
        <v>509</v>
      </c>
      <c r="S67" s="11" t="s">
        <v>510</v>
      </c>
      <c r="T67" s="6"/>
      <c r="U67" s="27" t="str">
        <f>HYPERLINK("https://media.infra-m.ru/1844/1844361/cover/1844361.jpg", "Обложка")</f>
        <v>Обложка</v>
      </c>
      <c r="V67" s="27" t="str">
        <f>HYPERLINK("https://znanium.com/catalog/product/1844361", "Ознакомиться")</f>
        <v>Ознакомиться</v>
      </c>
      <c r="W67" s="8" t="s">
        <v>505</v>
      </c>
      <c r="X67" s="6"/>
      <c r="Y67" s="6"/>
      <c r="Z67" s="6" t="s">
        <v>60</v>
      </c>
      <c r="AA67" s="6" t="s">
        <v>126</v>
      </c>
    </row>
    <row r="68" spans="1:27" s="4" customFormat="1" ht="51.95" customHeight="1">
      <c r="A68" s="5">
        <v>0</v>
      </c>
      <c r="B68" s="6" t="s">
        <v>511</v>
      </c>
      <c r="C68" s="7">
        <v>524</v>
      </c>
      <c r="D68" s="8" t="s">
        <v>512</v>
      </c>
      <c r="E68" s="8" t="s">
        <v>513</v>
      </c>
      <c r="F68" s="8" t="s">
        <v>514</v>
      </c>
      <c r="G68" s="6" t="s">
        <v>119</v>
      </c>
      <c r="H68" s="6" t="s">
        <v>131</v>
      </c>
      <c r="I68" s="8" t="s">
        <v>73</v>
      </c>
      <c r="J68" s="9">
        <v>1</v>
      </c>
      <c r="K68" s="9">
        <v>95</v>
      </c>
      <c r="L68" s="9">
        <v>2024</v>
      </c>
      <c r="M68" s="8" t="s">
        <v>515</v>
      </c>
      <c r="N68" s="8" t="s">
        <v>41</v>
      </c>
      <c r="O68" s="8" t="s">
        <v>42</v>
      </c>
      <c r="P68" s="6" t="s">
        <v>43</v>
      </c>
      <c r="Q68" s="8" t="s">
        <v>75</v>
      </c>
      <c r="R68" s="10" t="s">
        <v>516</v>
      </c>
      <c r="S68" s="11" t="s">
        <v>517</v>
      </c>
      <c r="T68" s="6"/>
      <c r="U68" s="27" t="str">
        <f>HYPERLINK("https://media.infra-m.ru/2094/2094492/cover/2094492.jpg", "Обложка")</f>
        <v>Обложка</v>
      </c>
      <c r="V68" s="27" t="str">
        <f>HYPERLINK("https://znanium.com/catalog/product/1043392", "Ознакомиться")</f>
        <v>Ознакомиться</v>
      </c>
      <c r="W68" s="8" t="s">
        <v>125</v>
      </c>
      <c r="X68" s="6"/>
      <c r="Y68" s="6"/>
      <c r="Z68" s="6"/>
      <c r="AA68" s="6" t="s">
        <v>114</v>
      </c>
    </row>
    <row r="69" spans="1:27" s="4" customFormat="1" ht="51.95" customHeight="1">
      <c r="A69" s="5">
        <v>0</v>
      </c>
      <c r="B69" s="6" t="s">
        <v>518</v>
      </c>
      <c r="C69" s="13">
        <v>1754.9</v>
      </c>
      <c r="D69" s="8" t="s">
        <v>519</v>
      </c>
      <c r="E69" s="8" t="s">
        <v>520</v>
      </c>
      <c r="F69" s="8" t="s">
        <v>521</v>
      </c>
      <c r="G69" s="6" t="s">
        <v>37</v>
      </c>
      <c r="H69" s="6" t="s">
        <v>38</v>
      </c>
      <c r="I69" s="8" t="s">
        <v>73</v>
      </c>
      <c r="J69" s="9">
        <v>1</v>
      </c>
      <c r="K69" s="9">
        <v>461</v>
      </c>
      <c r="L69" s="9">
        <v>2022</v>
      </c>
      <c r="M69" s="8" t="s">
        <v>522</v>
      </c>
      <c r="N69" s="8" t="s">
        <v>41</v>
      </c>
      <c r="O69" s="8" t="s">
        <v>42</v>
      </c>
      <c r="P69" s="6" t="s">
        <v>55</v>
      </c>
      <c r="Q69" s="8" t="s">
        <v>75</v>
      </c>
      <c r="R69" s="10" t="s">
        <v>523</v>
      </c>
      <c r="S69" s="11" t="s">
        <v>524</v>
      </c>
      <c r="T69" s="6"/>
      <c r="U69" s="27" t="str">
        <f>HYPERLINK("https://media.infra-m.ru/1834/1834748/cover/1834748.jpg", "Обложка")</f>
        <v>Обложка</v>
      </c>
      <c r="V69" s="27" t="str">
        <f>HYPERLINK("https://znanium.com/catalog/product/1834748", "Ознакомиться")</f>
        <v>Ознакомиться</v>
      </c>
      <c r="W69" s="8" t="s">
        <v>314</v>
      </c>
      <c r="X69" s="6"/>
      <c r="Y69" s="6"/>
      <c r="Z69" s="6"/>
      <c r="AA69" s="6" t="s">
        <v>339</v>
      </c>
    </row>
    <row r="70" spans="1:27" s="4" customFormat="1" ht="51.95" customHeight="1">
      <c r="A70" s="5">
        <v>0</v>
      </c>
      <c r="B70" s="6" t="s">
        <v>525</v>
      </c>
      <c r="C70" s="13">
        <v>2090</v>
      </c>
      <c r="D70" s="8" t="s">
        <v>526</v>
      </c>
      <c r="E70" s="8" t="s">
        <v>520</v>
      </c>
      <c r="F70" s="8" t="s">
        <v>521</v>
      </c>
      <c r="G70" s="6" t="s">
        <v>37</v>
      </c>
      <c r="H70" s="6" t="s">
        <v>38</v>
      </c>
      <c r="I70" s="8" t="s">
        <v>53</v>
      </c>
      <c r="J70" s="9">
        <v>1</v>
      </c>
      <c r="K70" s="9">
        <v>461</v>
      </c>
      <c r="L70" s="9">
        <v>2023</v>
      </c>
      <c r="M70" s="8" t="s">
        <v>527</v>
      </c>
      <c r="N70" s="8" t="s">
        <v>41</v>
      </c>
      <c r="O70" s="8" t="s">
        <v>42</v>
      </c>
      <c r="P70" s="6" t="s">
        <v>55</v>
      </c>
      <c r="Q70" s="8" t="s">
        <v>56</v>
      </c>
      <c r="R70" s="10" t="s">
        <v>528</v>
      </c>
      <c r="S70" s="11" t="s">
        <v>529</v>
      </c>
      <c r="T70" s="6"/>
      <c r="U70" s="27" t="str">
        <f>HYPERLINK("https://media.infra-m.ru/1907/1907039/cover/1907039.jpg", "Обложка")</f>
        <v>Обложка</v>
      </c>
      <c r="V70" s="27" t="str">
        <f>HYPERLINK("https://znanium.com/catalog/product/1907039", "Ознакомиться")</f>
        <v>Ознакомиться</v>
      </c>
      <c r="W70" s="8" t="s">
        <v>314</v>
      </c>
      <c r="X70" s="6"/>
      <c r="Y70" s="6"/>
      <c r="Z70" s="6" t="s">
        <v>60</v>
      </c>
      <c r="AA70" s="6" t="s">
        <v>382</v>
      </c>
    </row>
    <row r="71" spans="1:27" s="4" customFormat="1" ht="44.1" customHeight="1">
      <c r="A71" s="5">
        <v>0</v>
      </c>
      <c r="B71" s="6" t="s">
        <v>530</v>
      </c>
      <c r="C71" s="7">
        <v>490</v>
      </c>
      <c r="D71" s="8" t="s">
        <v>531</v>
      </c>
      <c r="E71" s="8" t="s">
        <v>532</v>
      </c>
      <c r="F71" s="8" t="s">
        <v>533</v>
      </c>
      <c r="G71" s="6" t="s">
        <v>119</v>
      </c>
      <c r="H71" s="6" t="s">
        <v>38</v>
      </c>
      <c r="I71" s="8" t="s">
        <v>120</v>
      </c>
      <c r="J71" s="9">
        <v>1</v>
      </c>
      <c r="K71" s="9">
        <v>106</v>
      </c>
      <c r="L71" s="9">
        <v>2023</v>
      </c>
      <c r="M71" s="8" t="s">
        <v>534</v>
      </c>
      <c r="N71" s="8" t="s">
        <v>41</v>
      </c>
      <c r="O71" s="8" t="s">
        <v>42</v>
      </c>
      <c r="P71" s="6" t="s">
        <v>122</v>
      </c>
      <c r="Q71" s="8" t="s">
        <v>123</v>
      </c>
      <c r="R71" s="10" t="s">
        <v>535</v>
      </c>
      <c r="S71" s="11"/>
      <c r="T71" s="6"/>
      <c r="U71" s="27" t="str">
        <f>HYPERLINK("https://media.infra-m.ru/2021/2021380/cover/2021380.jpg", "Обложка")</f>
        <v>Обложка</v>
      </c>
      <c r="V71" s="27" t="str">
        <f>HYPERLINK("https://znanium.com/catalog/product/2021380", "Ознакомиться")</f>
        <v>Ознакомиться</v>
      </c>
      <c r="W71" s="8" t="s">
        <v>195</v>
      </c>
      <c r="X71" s="6"/>
      <c r="Y71" s="6"/>
      <c r="Z71" s="6"/>
      <c r="AA71" s="6" t="s">
        <v>106</v>
      </c>
    </row>
    <row r="72" spans="1:27" s="4" customFormat="1" ht="51.95" customHeight="1">
      <c r="A72" s="5">
        <v>0</v>
      </c>
      <c r="B72" s="6" t="s">
        <v>536</v>
      </c>
      <c r="C72" s="7">
        <v>804</v>
      </c>
      <c r="D72" s="8" t="s">
        <v>537</v>
      </c>
      <c r="E72" s="8" t="s">
        <v>538</v>
      </c>
      <c r="F72" s="8" t="s">
        <v>539</v>
      </c>
      <c r="G72" s="6" t="s">
        <v>92</v>
      </c>
      <c r="H72" s="6" t="s">
        <v>424</v>
      </c>
      <c r="I72" s="8" t="s">
        <v>351</v>
      </c>
      <c r="J72" s="9">
        <v>1</v>
      </c>
      <c r="K72" s="9">
        <v>176</v>
      </c>
      <c r="L72" s="9">
        <v>2024</v>
      </c>
      <c r="M72" s="8" t="s">
        <v>540</v>
      </c>
      <c r="N72" s="8" t="s">
        <v>41</v>
      </c>
      <c r="O72" s="8" t="s">
        <v>42</v>
      </c>
      <c r="P72" s="6" t="s">
        <v>43</v>
      </c>
      <c r="Q72" s="8" t="s">
        <v>75</v>
      </c>
      <c r="R72" s="10" t="s">
        <v>541</v>
      </c>
      <c r="S72" s="11" t="s">
        <v>542</v>
      </c>
      <c r="T72" s="6" t="s">
        <v>59</v>
      </c>
      <c r="U72" s="27" t="str">
        <f>HYPERLINK("https://media.infra-m.ru/2104/2104872/cover/2104872.jpg", "Обложка")</f>
        <v>Обложка</v>
      </c>
      <c r="V72" s="27" t="str">
        <f>HYPERLINK("https://znanium.com/catalog/product/1840937", "Ознакомиться")</f>
        <v>Ознакомиться</v>
      </c>
      <c r="W72" s="8" t="s">
        <v>543</v>
      </c>
      <c r="X72" s="6"/>
      <c r="Y72" s="6"/>
      <c r="Z72" s="6"/>
      <c r="AA72" s="6" t="s">
        <v>213</v>
      </c>
    </row>
    <row r="73" spans="1:27" s="4" customFormat="1" ht="51.95" customHeight="1">
      <c r="A73" s="5">
        <v>0</v>
      </c>
      <c r="B73" s="6" t="s">
        <v>544</v>
      </c>
      <c r="C73" s="7">
        <v>574.9</v>
      </c>
      <c r="D73" s="8" t="s">
        <v>545</v>
      </c>
      <c r="E73" s="8" t="s">
        <v>546</v>
      </c>
      <c r="F73" s="8" t="s">
        <v>547</v>
      </c>
      <c r="G73" s="6" t="s">
        <v>119</v>
      </c>
      <c r="H73" s="6" t="s">
        <v>52</v>
      </c>
      <c r="I73" s="8"/>
      <c r="J73" s="9">
        <v>1</v>
      </c>
      <c r="K73" s="9">
        <v>128</v>
      </c>
      <c r="L73" s="9">
        <v>2023</v>
      </c>
      <c r="M73" s="8" t="s">
        <v>548</v>
      </c>
      <c r="N73" s="8" t="s">
        <v>41</v>
      </c>
      <c r="O73" s="8" t="s">
        <v>42</v>
      </c>
      <c r="P73" s="6" t="s">
        <v>43</v>
      </c>
      <c r="Q73" s="8" t="s">
        <v>75</v>
      </c>
      <c r="R73" s="10" t="s">
        <v>549</v>
      </c>
      <c r="S73" s="11" t="s">
        <v>550</v>
      </c>
      <c r="T73" s="6"/>
      <c r="U73" s="27" t="str">
        <f>HYPERLINK("https://media.infra-m.ru/1981/1981659/cover/1981659.jpg", "Обложка")</f>
        <v>Обложка</v>
      </c>
      <c r="V73" s="27" t="str">
        <f>HYPERLINK("https://znanium.com/catalog/product/960053", "Ознакомиться")</f>
        <v>Ознакомиться</v>
      </c>
      <c r="W73" s="8" t="s">
        <v>125</v>
      </c>
      <c r="X73" s="6"/>
      <c r="Y73" s="6"/>
      <c r="Z73" s="6"/>
      <c r="AA73" s="6" t="s">
        <v>213</v>
      </c>
    </row>
    <row r="74" spans="1:27" s="4" customFormat="1" ht="51.95" customHeight="1">
      <c r="A74" s="5">
        <v>0</v>
      </c>
      <c r="B74" s="6" t="s">
        <v>551</v>
      </c>
      <c r="C74" s="7">
        <v>644</v>
      </c>
      <c r="D74" s="8" t="s">
        <v>552</v>
      </c>
      <c r="E74" s="8" t="s">
        <v>553</v>
      </c>
      <c r="F74" s="8" t="s">
        <v>554</v>
      </c>
      <c r="G74" s="6" t="s">
        <v>119</v>
      </c>
      <c r="H74" s="6" t="s">
        <v>38</v>
      </c>
      <c r="I74" s="8" t="s">
        <v>73</v>
      </c>
      <c r="J74" s="9">
        <v>1</v>
      </c>
      <c r="K74" s="9">
        <v>113</v>
      </c>
      <c r="L74" s="9">
        <v>2024</v>
      </c>
      <c r="M74" s="8" t="s">
        <v>555</v>
      </c>
      <c r="N74" s="8" t="s">
        <v>41</v>
      </c>
      <c r="O74" s="8" t="s">
        <v>42</v>
      </c>
      <c r="P74" s="6" t="s">
        <v>556</v>
      </c>
      <c r="Q74" s="8" t="s">
        <v>75</v>
      </c>
      <c r="R74" s="10" t="s">
        <v>557</v>
      </c>
      <c r="S74" s="11" t="s">
        <v>558</v>
      </c>
      <c r="T74" s="6"/>
      <c r="U74" s="27" t="str">
        <f>HYPERLINK("https://media.infra-m.ru/2091/2091904/cover/2091904.jpg", "Обложка")</f>
        <v>Обложка</v>
      </c>
      <c r="V74" s="27" t="str">
        <f>HYPERLINK("https://znanium.com/catalog/product/1451839", "Ознакомиться")</f>
        <v>Ознакомиться</v>
      </c>
      <c r="W74" s="8" t="s">
        <v>419</v>
      </c>
      <c r="X74" s="6"/>
      <c r="Y74" s="6"/>
      <c r="Z74" s="6"/>
      <c r="AA74" s="6" t="s">
        <v>559</v>
      </c>
    </row>
    <row r="75" spans="1:27" s="4" customFormat="1" ht="42" customHeight="1">
      <c r="A75" s="5">
        <v>0</v>
      </c>
      <c r="B75" s="6" t="s">
        <v>560</v>
      </c>
      <c r="C75" s="7">
        <v>590</v>
      </c>
      <c r="D75" s="8" t="s">
        <v>561</v>
      </c>
      <c r="E75" s="8" t="s">
        <v>562</v>
      </c>
      <c r="F75" s="8" t="s">
        <v>554</v>
      </c>
      <c r="G75" s="6" t="s">
        <v>119</v>
      </c>
      <c r="H75" s="6" t="s">
        <v>38</v>
      </c>
      <c r="I75" s="8" t="s">
        <v>53</v>
      </c>
      <c r="J75" s="9">
        <v>1</v>
      </c>
      <c r="K75" s="9">
        <v>113</v>
      </c>
      <c r="L75" s="9">
        <v>2024</v>
      </c>
      <c r="M75" s="8" t="s">
        <v>563</v>
      </c>
      <c r="N75" s="8" t="s">
        <v>41</v>
      </c>
      <c r="O75" s="8" t="s">
        <v>502</v>
      </c>
      <c r="P75" s="6" t="s">
        <v>556</v>
      </c>
      <c r="Q75" s="8" t="s">
        <v>56</v>
      </c>
      <c r="R75" s="10" t="s">
        <v>155</v>
      </c>
      <c r="S75" s="11"/>
      <c r="T75" s="6"/>
      <c r="U75" s="27" t="str">
        <f>HYPERLINK("https://media.infra-m.ru/2098/2098048/cover/2098048.jpg", "Обложка")</f>
        <v>Обложка</v>
      </c>
      <c r="V75" s="27" t="str">
        <f>HYPERLINK("https://znanium.com/catalog/product/2098048", "Ознакомиться")</f>
        <v>Ознакомиться</v>
      </c>
      <c r="W75" s="8" t="s">
        <v>419</v>
      </c>
      <c r="X75" s="6" t="s">
        <v>564</v>
      </c>
      <c r="Y75" s="6"/>
      <c r="Z75" s="6" t="s">
        <v>60</v>
      </c>
      <c r="AA75" s="6" t="s">
        <v>565</v>
      </c>
    </row>
    <row r="76" spans="1:27" s="4" customFormat="1" ht="51.95" customHeight="1">
      <c r="A76" s="5">
        <v>0</v>
      </c>
      <c r="B76" s="6" t="s">
        <v>566</v>
      </c>
      <c r="C76" s="7">
        <v>410</v>
      </c>
      <c r="D76" s="8" t="s">
        <v>567</v>
      </c>
      <c r="E76" s="8" t="s">
        <v>568</v>
      </c>
      <c r="F76" s="8" t="s">
        <v>554</v>
      </c>
      <c r="G76" s="6" t="s">
        <v>119</v>
      </c>
      <c r="H76" s="6" t="s">
        <v>161</v>
      </c>
      <c r="I76" s="8" t="s">
        <v>73</v>
      </c>
      <c r="J76" s="9">
        <v>1</v>
      </c>
      <c r="K76" s="9">
        <v>120</v>
      </c>
      <c r="L76" s="9">
        <v>2020</v>
      </c>
      <c r="M76" s="8" t="s">
        <v>569</v>
      </c>
      <c r="N76" s="8" t="s">
        <v>41</v>
      </c>
      <c r="O76" s="8" t="s">
        <v>502</v>
      </c>
      <c r="P76" s="6" t="s">
        <v>43</v>
      </c>
      <c r="Q76" s="8" t="s">
        <v>75</v>
      </c>
      <c r="R76" s="10" t="s">
        <v>557</v>
      </c>
      <c r="S76" s="11" t="s">
        <v>570</v>
      </c>
      <c r="T76" s="6"/>
      <c r="U76" s="27" t="str">
        <f>HYPERLINK("https://media.infra-m.ru/1079/1079340/cover/1079340.jpg", "Обложка")</f>
        <v>Обложка</v>
      </c>
      <c r="V76" s="27" t="str">
        <f>HYPERLINK("https://znanium.com/catalog/product/1451839", "Ознакомиться")</f>
        <v>Ознакомиться</v>
      </c>
      <c r="W76" s="8" t="s">
        <v>419</v>
      </c>
      <c r="X76" s="6"/>
      <c r="Y76" s="6"/>
      <c r="Z76" s="6"/>
      <c r="AA76" s="6" t="s">
        <v>222</v>
      </c>
    </row>
    <row r="77" spans="1:27" s="4" customFormat="1" ht="51.95" customHeight="1">
      <c r="A77" s="5">
        <v>0</v>
      </c>
      <c r="B77" s="6" t="s">
        <v>571</v>
      </c>
      <c r="C77" s="13">
        <v>1680</v>
      </c>
      <c r="D77" s="8" t="s">
        <v>572</v>
      </c>
      <c r="E77" s="8" t="s">
        <v>573</v>
      </c>
      <c r="F77" s="8" t="s">
        <v>574</v>
      </c>
      <c r="G77" s="6" t="s">
        <v>37</v>
      </c>
      <c r="H77" s="6" t="s">
        <v>131</v>
      </c>
      <c r="I77" s="8" t="s">
        <v>53</v>
      </c>
      <c r="J77" s="9">
        <v>1</v>
      </c>
      <c r="K77" s="9">
        <v>400</v>
      </c>
      <c r="L77" s="9">
        <v>2022</v>
      </c>
      <c r="M77" s="8" t="s">
        <v>575</v>
      </c>
      <c r="N77" s="8" t="s">
        <v>41</v>
      </c>
      <c r="O77" s="8" t="s">
        <v>401</v>
      </c>
      <c r="P77" s="6" t="s">
        <v>43</v>
      </c>
      <c r="Q77" s="8" t="s">
        <v>56</v>
      </c>
      <c r="R77" s="10" t="s">
        <v>163</v>
      </c>
      <c r="S77" s="11" t="s">
        <v>576</v>
      </c>
      <c r="T77" s="6"/>
      <c r="U77" s="27" t="str">
        <f>HYPERLINK("https://media.infra-m.ru/1872/1872110/cover/1872110.jpg", "Обложка")</f>
        <v>Обложка</v>
      </c>
      <c r="V77" s="27" t="str">
        <f>HYPERLINK("https://znanium.com/catalog/product/1872110", "Ознакомиться")</f>
        <v>Ознакомиться</v>
      </c>
      <c r="W77" s="8" t="s">
        <v>149</v>
      </c>
      <c r="X77" s="6"/>
      <c r="Y77" s="6"/>
      <c r="Z77" s="6" t="s">
        <v>60</v>
      </c>
      <c r="AA77" s="6" t="s">
        <v>126</v>
      </c>
    </row>
    <row r="78" spans="1:27" s="4" customFormat="1" ht="51.95" customHeight="1">
      <c r="A78" s="5">
        <v>0</v>
      </c>
      <c r="B78" s="6" t="s">
        <v>577</v>
      </c>
      <c r="C78" s="13">
        <v>1800</v>
      </c>
      <c r="D78" s="8" t="s">
        <v>578</v>
      </c>
      <c r="E78" s="8" t="s">
        <v>573</v>
      </c>
      <c r="F78" s="8" t="s">
        <v>579</v>
      </c>
      <c r="G78" s="6" t="s">
        <v>37</v>
      </c>
      <c r="H78" s="6" t="s">
        <v>131</v>
      </c>
      <c r="I78" s="8" t="s">
        <v>132</v>
      </c>
      <c r="J78" s="9">
        <v>1</v>
      </c>
      <c r="K78" s="9">
        <v>400</v>
      </c>
      <c r="L78" s="9">
        <v>2023</v>
      </c>
      <c r="M78" s="8" t="s">
        <v>580</v>
      </c>
      <c r="N78" s="8" t="s">
        <v>41</v>
      </c>
      <c r="O78" s="8" t="s">
        <v>401</v>
      </c>
      <c r="P78" s="6" t="s">
        <v>43</v>
      </c>
      <c r="Q78" s="8" t="s">
        <v>75</v>
      </c>
      <c r="R78" s="10" t="s">
        <v>581</v>
      </c>
      <c r="S78" s="11" t="s">
        <v>582</v>
      </c>
      <c r="T78" s="6"/>
      <c r="U78" s="27" t="str">
        <f>HYPERLINK("https://media.infra-m.ru/2019/2019771/cover/2019771.jpg", "Обложка")</f>
        <v>Обложка</v>
      </c>
      <c r="V78" s="27" t="str">
        <f>HYPERLINK("https://znanium.com/catalog/product/2019771", "Ознакомиться")</f>
        <v>Ознакомиться</v>
      </c>
      <c r="W78" s="8" t="s">
        <v>149</v>
      </c>
      <c r="X78" s="6"/>
      <c r="Y78" s="6"/>
      <c r="Z78" s="6"/>
      <c r="AA78" s="6" t="s">
        <v>47</v>
      </c>
    </row>
    <row r="79" spans="1:27" s="4" customFormat="1" ht="51.95" customHeight="1">
      <c r="A79" s="5">
        <v>0</v>
      </c>
      <c r="B79" s="6" t="s">
        <v>583</v>
      </c>
      <c r="C79" s="7">
        <v>574.9</v>
      </c>
      <c r="D79" s="8" t="s">
        <v>584</v>
      </c>
      <c r="E79" s="8" t="s">
        <v>585</v>
      </c>
      <c r="F79" s="8" t="s">
        <v>554</v>
      </c>
      <c r="G79" s="6" t="s">
        <v>119</v>
      </c>
      <c r="H79" s="6" t="s">
        <v>161</v>
      </c>
      <c r="I79" s="8" t="s">
        <v>53</v>
      </c>
      <c r="J79" s="9">
        <v>1</v>
      </c>
      <c r="K79" s="9">
        <v>120</v>
      </c>
      <c r="L79" s="9">
        <v>2023</v>
      </c>
      <c r="M79" s="8" t="s">
        <v>586</v>
      </c>
      <c r="N79" s="8" t="s">
        <v>41</v>
      </c>
      <c r="O79" s="8" t="s">
        <v>502</v>
      </c>
      <c r="P79" s="6" t="s">
        <v>43</v>
      </c>
      <c r="Q79" s="8" t="s">
        <v>56</v>
      </c>
      <c r="R79" s="10" t="s">
        <v>155</v>
      </c>
      <c r="S79" s="11" t="s">
        <v>587</v>
      </c>
      <c r="T79" s="6"/>
      <c r="U79" s="27" t="str">
        <f>HYPERLINK("https://media.infra-m.ru/1920/1920310/cover/1920310.jpg", "Обложка")</f>
        <v>Обложка</v>
      </c>
      <c r="V79" s="27" t="str">
        <f>HYPERLINK("https://znanium.com/catalog/product/2098048", "Ознакомиться")</f>
        <v>Ознакомиться</v>
      </c>
      <c r="W79" s="8" t="s">
        <v>419</v>
      </c>
      <c r="X79" s="6"/>
      <c r="Y79" s="6"/>
      <c r="Z79" s="6" t="s">
        <v>60</v>
      </c>
      <c r="AA79" s="6" t="s">
        <v>126</v>
      </c>
    </row>
    <row r="80" spans="1:27" s="4" customFormat="1" ht="51.95" customHeight="1">
      <c r="A80" s="5">
        <v>0</v>
      </c>
      <c r="B80" s="6" t="s">
        <v>588</v>
      </c>
      <c r="C80" s="13">
        <v>1100</v>
      </c>
      <c r="D80" s="8" t="s">
        <v>589</v>
      </c>
      <c r="E80" s="8" t="s">
        <v>590</v>
      </c>
      <c r="F80" s="8" t="s">
        <v>591</v>
      </c>
      <c r="G80" s="6" t="s">
        <v>37</v>
      </c>
      <c r="H80" s="6" t="s">
        <v>38</v>
      </c>
      <c r="I80" s="8" t="s">
        <v>132</v>
      </c>
      <c r="J80" s="9">
        <v>1</v>
      </c>
      <c r="K80" s="9">
        <v>237</v>
      </c>
      <c r="L80" s="9">
        <v>2024</v>
      </c>
      <c r="M80" s="8" t="s">
        <v>592</v>
      </c>
      <c r="N80" s="8" t="s">
        <v>41</v>
      </c>
      <c r="O80" s="8" t="s">
        <v>42</v>
      </c>
      <c r="P80" s="6" t="s">
        <v>55</v>
      </c>
      <c r="Q80" s="8" t="s">
        <v>75</v>
      </c>
      <c r="R80" s="10" t="s">
        <v>593</v>
      </c>
      <c r="S80" s="11" t="s">
        <v>594</v>
      </c>
      <c r="T80" s="6"/>
      <c r="U80" s="27" t="str">
        <f>HYPERLINK("https://media.infra-m.ru/1904/1904861/cover/1904861.jpg", "Обложка")</f>
        <v>Обложка</v>
      </c>
      <c r="V80" s="27" t="str">
        <f>HYPERLINK("https://znanium.com/catalog/product/1904861", "Ознакомиться")</f>
        <v>Ознакомиться</v>
      </c>
      <c r="W80" s="8" t="s">
        <v>595</v>
      </c>
      <c r="X80" s="6"/>
      <c r="Y80" s="6"/>
      <c r="Z80" s="6"/>
      <c r="AA80" s="6" t="s">
        <v>150</v>
      </c>
    </row>
    <row r="81" spans="1:27" s="4" customFormat="1" ht="51.95" customHeight="1">
      <c r="A81" s="5">
        <v>0</v>
      </c>
      <c r="B81" s="6" t="s">
        <v>596</v>
      </c>
      <c r="C81" s="13">
        <v>1224</v>
      </c>
      <c r="D81" s="8" t="s">
        <v>597</v>
      </c>
      <c r="E81" s="8" t="s">
        <v>598</v>
      </c>
      <c r="F81" s="8" t="s">
        <v>599</v>
      </c>
      <c r="G81" s="6" t="s">
        <v>119</v>
      </c>
      <c r="H81" s="6" t="s">
        <v>131</v>
      </c>
      <c r="I81" s="8"/>
      <c r="J81" s="9">
        <v>1</v>
      </c>
      <c r="K81" s="9">
        <v>272</v>
      </c>
      <c r="L81" s="9">
        <v>2023</v>
      </c>
      <c r="M81" s="8" t="s">
        <v>600</v>
      </c>
      <c r="N81" s="8" t="s">
        <v>41</v>
      </c>
      <c r="O81" s="8" t="s">
        <v>42</v>
      </c>
      <c r="P81" s="6" t="s">
        <v>122</v>
      </c>
      <c r="Q81" s="8" t="s">
        <v>123</v>
      </c>
      <c r="R81" s="10" t="s">
        <v>601</v>
      </c>
      <c r="S81" s="11"/>
      <c r="T81" s="6"/>
      <c r="U81" s="27" t="str">
        <f>HYPERLINK("https://media.infra-m.ru/1855/1855796/cover/1855796.jpg", "Обложка")</f>
        <v>Обложка</v>
      </c>
      <c r="V81" s="27" t="str">
        <f>HYPERLINK("https://znanium.com/catalog/product/1084332", "Ознакомиться")</f>
        <v>Ознакомиться</v>
      </c>
      <c r="W81" s="8" t="s">
        <v>125</v>
      </c>
      <c r="X81" s="6"/>
      <c r="Y81" s="6"/>
      <c r="Z81" s="6"/>
      <c r="AA81" s="6" t="s">
        <v>602</v>
      </c>
    </row>
    <row r="82" spans="1:27" s="4" customFormat="1" ht="51.95" customHeight="1">
      <c r="A82" s="5">
        <v>0</v>
      </c>
      <c r="B82" s="6" t="s">
        <v>603</v>
      </c>
      <c r="C82" s="7">
        <v>654.9</v>
      </c>
      <c r="D82" s="8" t="s">
        <v>604</v>
      </c>
      <c r="E82" s="8" t="s">
        <v>605</v>
      </c>
      <c r="F82" s="8" t="s">
        <v>606</v>
      </c>
      <c r="G82" s="6" t="s">
        <v>92</v>
      </c>
      <c r="H82" s="6" t="s">
        <v>209</v>
      </c>
      <c r="I82" s="8" t="s">
        <v>73</v>
      </c>
      <c r="J82" s="9">
        <v>1</v>
      </c>
      <c r="K82" s="9">
        <v>171</v>
      </c>
      <c r="L82" s="9">
        <v>2022</v>
      </c>
      <c r="M82" s="8" t="s">
        <v>607</v>
      </c>
      <c r="N82" s="8" t="s">
        <v>41</v>
      </c>
      <c r="O82" s="8" t="s">
        <v>42</v>
      </c>
      <c r="P82" s="6" t="s">
        <v>43</v>
      </c>
      <c r="Q82" s="8" t="s">
        <v>75</v>
      </c>
      <c r="R82" s="10" t="s">
        <v>608</v>
      </c>
      <c r="S82" s="11" t="s">
        <v>609</v>
      </c>
      <c r="T82" s="6"/>
      <c r="U82" s="27" t="str">
        <f>HYPERLINK("https://media.infra-m.ru/1856/1856787/cover/1856787.jpg", "Обложка")</f>
        <v>Обложка</v>
      </c>
      <c r="V82" s="27" t="str">
        <f>HYPERLINK("https://znanium.com/catalog/product/1856787", "Ознакомиться")</f>
        <v>Ознакомиться</v>
      </c>
      <c r="W82" s="8" t="s">
        <v>610</v>
      </c>
      <c r="X82" s="6"/>
      <c r="Y82" s="6"/>
      <c r="Z82" s="6"/>
      <c r="AA82" s="6" t="s">
        <v>346</v>
      </c>
    </row>
    <row r="83" spans="1:27" s="4" customFormat="1" ht="51.95" customHeight="1">
      <c r="A83" s="5">
        <v>0</v>
      </c>
      <c r="B83" s="6" t="s">
        <v>611</v>
      </c>
      <c r="C83" s="7">
        <v>884</v>
      </c>
      <c r="D83" s="8" t="s">
        <v>612</v>
      </c>
      <c r="E83" s="8" t="s">
        <v>613</v>
      </c>
      <c r="F83" s="8" t="s">
        <v>614</v>
      </c>
      <c r="G83" s="6" t="s">
        <v>92</v>
      </c>
      <c r="H83" s="6" t="s">
        <v>209</v>
      </c>
      <c r="I83" s="8"/>
      <c r="J83" s="9">
        <v>1</v>
      </c>
      <c r="K83" s="9">
        <v>187</v>
      </c>
      <c r="L83" s="9">
        <v>2023</v>
      </c>
      <c r="M83" s="8" t="s">
        <v>615</v>
      </c>
      <c r="N83" s="8" t="s">
        <v>41</v>
      </c>
      <c r="O83" s="8" t="s">
        <v>42</v>
      </c>
      <c r="P83" s="6" t="s">
        <v>43</v>
      </c>
      <c r="Q83" s="8" t="s">
        <v>286</v>
      </c>
      <c r="R83" s="10" t="s">
        <v>616</v>
      </c>
      <c r="S83" s="11"/>
      <c r="T83" s="6"/>
      <c r="U83" s="27" t="str">
        <f>HYPERLINK("https://media.infra-m.ru/2006/2006879/cover/2006879.jpg", "Обложка")</f>
        <v>Обложка</v>
      </c>
      <c r="V83" s="27" t="str">
        <f>HYPERLINK("https://znanium.com/catalog/product/953324", "Ознакомиться")</f>
        <v>Ознакомиться</v>
      </c>
      <c r="W83" s="8"/>
      <c r="X83" s="6"/>
      <c r="Y83" s="6"/>
      <c r="Z83" s="6"/>
      <c r="AA83" s="6" t="s">
        <v>61</v>
      </c>
    </row>
    <row r="84" spans="1:27" s="4" customFormat="1" ht="51.95" customHeight="1">
      <c r="A84" s="5">
        <v>0</v>
      </c>
      <c r="B84" s="6" t="s">
        <v>617</v>
      </c>
      <c r="C84" s="7">
        <v>824.9</v>
      </c>
      <c r="D84" s="8" t="s">
        <v>618</v>
      </c>
      <c r="E84" s="8" t="s">
        <v>605</v>
      </c>
      <c r="F84" s="8" t="s">
        <v>310</v>
      </c>
      <c r="G84" s="6" t="s">
        <v>92</v>
      </c>
      <c r="H84" s="6" t="s">
        <v>209</v>
      </c>
      <c r="I84" s="8" t="s">
        <v>619</v>
      </c>
      <c r="J84" s="9">
        <v>1</v>
      </c>
      <c r="K84" s="9">
        <v>216</v>
      </c>
      <c r="L84" s="9">
        <v>2022</v>
      </c>
      <c r="M84" s="8" t="s">
        <v>620</v>
      </c>
      <c r="N84" s="8" t="s">
        <v>41</v>
      </c>
      <c r="O84" s="8" t="s">
        <v>42</v>
      </c>
      <c r="P84" s="6" t="s">
        <v>43</v>
      </c>
      <c r="Q84" s="8" t="s">
        <v>75</v>
      </c>
      <c r="R84" s="10" t="s">
        <v>621</v>
      </c>
      <c r="S84" s="11" t="s">
        <v>622</v>
      </c>
      <c r="T84" s="6"/>
      <c r="U84" s="27" t="str">
        <f>HYPERLINK("https://media.infra-m.ru/1843/1843640/cover/1843640.jpg", "Обложка")</f>
        <v>Обложка</v>
      </c>
      <c r="V84" s="27" t="str">
        <f>HYPERLINK("https://znanium.com/catalog/product/1843640", "Ознакомиться")</f>
        <v>Ознакомиться</v>
      </c>
      <c r="W84" s="8" t="s">
        <v>314</v>
      </c>
      <c r="X84" s="6"/>
      <c r="Y84" s="6"/>
      <c r="Z84" s="6"/>
      <c r="AA84" s="6" t="s">
        <v>114</v>
      </c>
    </row>
    <row r="85" spans="1:27" s="4" customFormat="1" ht="51.95" customHeight="1">
      <c r="A85" s="5">
        <v>0</v>
      </c>
      <c r="B85" s="6" t="s">
        <v>623</v>
      </c>
      <c r="C85" s="13">
        <v>1380</v>
      </c>
      <c r="D85" s="8" t="s">
        <v>624</v>
      </c>
      <c r="E85" s="8" t="s">
        <v>625</v>
      </c>
      <c r="F85" s="8" t="s">
        <v>626</v>
      </c>
      <c r="G85" s="6" t="s">
        <v>37</v>
      </c>
      <c r="H85" s="6" t="s">
        <v>38</v>
      </c>
      <c r="I85" s="8" t="s">
        <v>53</v>
      </c>
      <c r="J85" s="9">
        <v>1</v>
      </c>
      <c r="K85" s="9">
        <v>383</v>
      </c>
      <c r="L85" s="9">
        <v>2021</v>
      </c>
      <c r="M85" s="8" t="s">
        <v>627</v>
      </c>
      <c r="N85" s="8" t="s">
        <v>41</v>
      </c>
      <c r="O85" s="8" t="s">
        <v>42</v>
      </c>
      <c r="P85" s="6" t="s">
        <v>55</v>
      </c>
      <c r="Q85" s="8" t="s">
        <v>56</v>
      </c>
      <c r="R85" s="10" t="s">
        <v>163</v>
      </c>
      <c r="S85" s="11" t="s">
        <v>628</v>
      </c>
      <c r="T85" s="6"/>
      <c r="U85" s="27" t="str">
        <f>HYPERLINK("https://media.infra-m.ru/1196/1196520/cover/1196520.jpg", "Обложка")</f>
        <v>Обложка</v>
      </c>
      <c r="V85" s="27" t="str">
        <f>HYPERLINK("https://znanium.com/catalog/product/1196520", "Ознакомиться")</f>
        <v>Ознакомиться</v>
      </c>
      <c r="W85" s="8" t="s">
        <v>629</v>
      </c>
      <c r="X85" s="6"/>
      <c r="Y85" s="6"/>
      <c r="Z85" s="6" t="s">
        <v>60</v>
      </c>
      <c r="AA85" s="6" t="s">
        <v>61</v>
      </c>
    </row>
    <row r="86" spans="1:27" s="4" customFormat="1" ht="51.95" customHeight="1">
      <c r="A86" s="5">
        <v>0</v>
      </c>
      <c r="B86" s="6" t="s">
        <v>630</v>
      </c>
      <c r="C86" s="13">
        <v>1780</v>
      </c>
      <c r="D86" s="8" t="s">
        <v>631</v>
      </c>
      <c r="E86" s="8" t="s">
        <v>625</v>
      </c>
      <c r="F86" s="8" t="s">
        <v>632</v>
      </c>
      <c r="G86" s="6" t="s">
        <v>37</v>
      </c>
      <c r="H86" s="6" t="s">
        <v>38</v>
      </c>
      <c r="I86" s="8" t="s">
        <v>132</v>
      </c>
      <c r="J86" s="9">
        <v>1</v>
      </c>
      <c r="K86" s="9">
        <v>383</v>
      </c>
      <c r="L86" s="9">
        <v>2024</v>
      </c>
      <c r="M86" s="8" t="s">
        <v>633</v>
      </c>
      <c r="N86" s="8" t="s">
        <v>41</v>
      </c>
      <c r="O86" s="8" t="s">
        <v>42</v>
      </c>
      <c r="P86" s="6" t="s">
        <v>55</v>
      </c>
      <c r="Q86" s="8" t="s">
        <v>75</v>
      </c>
      <c r="R86" s="10" t="s">
        <v>634</v>
      </c>
      <c r="S86" s="11" t="s">
        <v>635</v>
      </c>
      <c r="T86" s="6"/>
      <c r="U86" s="27" t="str">
        <f>HYPERLINK("https://media.infra-m.ru/2086/2086804/cover/2086804.jpg", "Обложка")</f>
        <v>Обложка</v>
      </c>
      <c r="V86" s="27" t="str">
        <f>HYPERLINK("https://znanium.com/catalog/product/2086804", "Ознакомиться")</f>
        <v>Ознакомиться</v>
      </c>
      <c r="W86" s="8" t="s">
        <v>629</v>
      </c>
      <c r="X86" s="6"/>
      <c r="Y86" s="6"/>
      <c r="Z86" s="6"/>
      <c r="AA86" s="6" t="s">
        <v>150</v>
      </c>
    </row>
    <row r="87" spans="1:27" s="4" customFormat="1" ht="51.95" customHeight="1">
      <c r="A87" s="5">
        <v>0</v>
      </c>
      <c r="B87" s="6" t="s">
        <v>636</v>
      </c>
      <c r="C87" s="7">
        <v>890</v>
      </c>
      <c r="D87" s="8" t="s">
        <v>637</v>
      </c>
      <c r="E87" s="8" t="s">
        <v>638</v>
      </c>
      <c r="F87" s="8" t="s">
        <v>639</v>
      </c>
      <c r="G87" s="6" t="s">
        <v>119</v>
      </c>
      <c r="H87" s="6" t="s">
        <v>209</v>
      </c>
      <c r="I87" s="8" t="s">
        <v>120</v>
      </c>
      <c r="J87" s="9">
        <v>1</v>
      </c>
      <c r="K87" s="9">
        <v>228</v>
      </c>
      <c r="L87" s="9">
        <v>2022</v>
      </c>
      <c r="M87" s="8" t="s">
        <v>640</v>
      </c>
      <c r="N87" s="8" t="s">
        <v>41</v>
      </c>
      <c r="O87" s="8" t="s">
        <v>42</v>
      </c>
      <c r="P87" s="6" t="s">
        <v>122</v>
      </c>
      <c r="Q87" s="8" t="s">
        <v>123</v>
      </c>
      <c r="R87" s="10" t="s">
        <v>641</v>
      </c>
      <c r="S87" s="11"/>
      <c r="T87" s="6"/>
      <c r="U87" s="27" t="str">
        <f>HYPERLINK("https://media.infra-m.ru/1863/1863806/cover/1863806.jpg", "Обложка")</f>
        <v>Обложка</v>
      </c>
      <c r="V87" s="27" t="str">
        <f>HYPERLINK("https://znanium.com/catalog/product/1863806", "Ознакомиться")</f>
        <v>Ознакомиться</v>
      </c>
      <c r="W87" s="8" t="s">
        <v>642</v>
      </c>
      <c r="X87" s="6"/>
      <c r="Y87" s="6"/>
      <c r="Z87" s="6"/>
      <c r="AA87" s="6" t="s">
        <v>106</v>
      </c>
    </row>
    <row r="88" spans="1:27" s="4" customFormat="1" ht="51.95" customHeight="1">
      <c r="A88" s="5">
        <v>0</v>
      </c>
      <c r="B88" s="6" t="s">
        <v>643</v>
      </c>
      <c r="C88" s="13">
        <v>1020</v>
      </c>
      <c r="D88" s="8" t="s">
        <v>644</v>
      </c>
      <c r="E88" s="8" t="s">
        <v>645</v>
      </c>
      <c r="F88" s="8" t="s">
        <v>646</v>
      </c>
      <c r="G88" s="6" t="s">
        <v>37</v>
      </c>
      <c r="H88" s="6" t="s">
        <v>38</v>
      </c>
      <c r="I88" s="8" t="s">
        <v>53</v>
      </c>
      <c r="J88" s="9">
        <v>1</v>
      </c>
      <c r="K88" s="9">
        <v>227</v>
      </c>
      <c r="L88" s="9">
        <v>2023</v>
      </c>
      <c r="M88" s="8" t="s">
        <v>647</v>
      </c>
      <c r="N88" s="8" t="s">
        <v>41</v>
      </c>
      <c r="O88" s="8" t="s">
        <v>42</v>
      </c>
      <c r="P88" s="6" t="s">
        <v>43</v>
      </c>
      <c r="Q88" s="8" t="s">
        <v>56</v>
      </c>
      <c r="R88" s="10" t="s">
        <v>648</v>
      </c>
      <c r="S88" s="11" t="s">
        <v>649</v>
      </c>
      <c r="T88" s="6"/>
      <c r="U88" s="27" t="str">
        <f>HYPERLINK("https://media.infra-m.ru/1964/1964982/cover/1964982.jpg", "Обложка")</f>
        <v>Обложка</v>
      </c>
      <c r="V88" s="27" t="str">
        <f>HYPERLINK("https://znanium.com/catalog/product/1964982", "Ознакомиться")</f>
        <v>Ознакомиться</v>
      </c>
      <c r="W88" s="8" t="s">
        <v>650</v>
      </c>
      <c r="X88" s="6"/>
      <c r="Y88" s="6"/>
      <c r="Z88" s="6"/>
      <c r="AA88" s="6" t="s">
        <v>204</v>
      </c>
    </row>
    <row r="89" spans="1:27" s="4" customFormat="1" ht="42" customHeight="1">
      <c r="A89" s="5">
        <v>0</v>
      </c>
      <c r="B89" s="6" t="s">
        <v>651</v>
      </c>
      <c r="C89" s="13">
        <v>1170</v>
      </c>
      <c r="D89" s="8" t="s">
        <v>652</v>
      </c>
      <c r="E89" s="8" t="s">
        <v>653</v>
      </c>
      <c r="F89" s="8" t="s">
        <v>654</v>
      </c>
      <c r="G89" s="6" t="s">
        <v>37</v>
      </c>
      <c r="H89" s="6" t="s">
        <v>209</v>
      </c>
      <c r="I89" s="8" t="s">
        <v>73</v>
      </c>
      <c r="J89" s="9">
        <v>1</v>
      </c>
      <c r="K89" s="9">
        <v>259</v>
      </c>
      <c r="L89" s="9">
        <v>2023</v>
      </c>
      <c r="M89" s="8" t="s">
        <v>655</v>
      </c>
      <c r="N89" s="8" t="s">
        <v>41</v>
      </c>
      <c r="O89" s="8" t="s">
        <v>42</v>
      </c>
      <c r="P89" s="6" t="s">
        <v>43</v>
      </c>
      <c r="Q89" s="8" t="s">
        <v>75</v>
      </c>
      <c r="R89" s="10" t="s">
        <v>656</v>
      </c>
      <c r="S89" s="11"/>
      <c r="T89" s="6"/>
      <c r="U89" s="27" t="str">
        <f>HYPERLINK("https://media.infra-m.ru/1918/1918536/cover/1918536.jpg", "Обложка")</f>
        <v>Обложка</v>
      </c>
      <c r="V89" s="27" t="str">
        <f>HYPERLINK("https://znanium.com/catalog/product/1175180", "Ознакомиться")</f>
        <v>Ознакомиться</v>
      </c>
      <c r="W89" s="8" t="s">
        <v>657</v>
      </c>
      <c r="X89" s="6"/>
      <c r="Y89" s="6"/>
      <c r="Z89" s="6"/>
      <c r="AA89" s="6" t="s">
        <v>346</v>
      </c>
    </row>
    <row r="90" spans="1:27" s="4" customFormat="1" ht="51.95" customHeight="1">
      <c r="A90" s="5">
        <v>0</v>
      </c>
      <c r="B90" s="6" t="s">
        <v>658</v>
      </c>
      <c r="C90" s="13">
        <v>1004.9</v>
      </c>
      <c r="D90" s="8" t="s">
        <v>659</v>
      </c>
      <c r="E90" s="8" t="s">
        <v>660</v>
      </c>
      <c r="F90" s="8" t="s">
        <v>661</v>
      </c>
      <c r="G90" s="6" t="s">
        <v>92</v>
      </c>
      <c r="H90" s="6" t="s">
        <v>52</v>
      </c>
      <c r="I90" s="8"/>
      <c r="J90" s="9">
        <v>1</v>
      </c>
      <c r="K90" s="9">
        <v>224</v>
      </c>
      <c r="L90" s="9">
        <v>2023</v>
      </c>
      <c r="M90" s="8" t="s">
        <v>662</v>
      </c>
      <c r="N90" s="8" t="s">
        <v>41</v>
      </c>
      <c r="O90" s="8" t="s">
        <v>42</v>
      </c>
      <c r="P90" s="6" t="s">
        <v>43</v>
      </c>
      <c r="Q90" s="8" t="s">
        <v>75</v>
      </c>
      <c r="R90" s="10" t="s">
        <v>663</v>
      </c>
      <c r="S90" s="11" t="s">
        <v>664</v>
      </c>
      <c r="T90" s="6"/>
      <c r="U90" s="27" t="str">
        <f>HYPERLINK("https://media.infra-m.ru/1896/1896811/cover/1896811.jpg", "Обложка")</f>
        <v>Обложка</v>
      </c>
      <c r="V90" s="27" t="str">
        <f>HYPERLINK("https://znanium.com/catalog/product/1840496", "Ознакомиться")</f>
        <v>Ознакомиться</v>
      </c>
      <c r="W90" s="8" t="s">
        <v>665</v>
      </c>
      <c r="X90" s="6"/>
      <c r="Y90" s="6"/>
      <c r="Z90" s="6"/>
      <c r="AA90" s="6" t="s">
        <v>602</v>
      </c>
    </row>
    <row r="91" spans="1:27" s="4" customFormat="1" ht="51.95" customHeight="1">
      <c r="A91" s="5">
        <v>0</v>
      </c>
      <c r="B91" s="6" t="s">
        <v>666</v>
      </c>
      <c r="C91" s="13">
        <v>1524</v>
      </c>
      <c r="D91" s="8" t="s">
        <v>667</v>
      </c>
      <c r="E91" s="8" t="s">
        <v>668</v>
      </c>
      <c r="F91" s="8" t="s">
        <v>669</v>
      </c>
      <c r="G91" s="6" t="s">
        <v>37</v>
      </c>
      <c r="H91" s="6" t="s">
        <v>38</v>
      </c>
      <c r="I91" s="8" t="s">
        <v>53</v>
      </c>
      <c r="J91" s="9">
        <v>1</v>
      </c>
      <c r="K91" s="9">
        <v>337</v>
      </c>
      <c r="L91" s="9">
        <v>2023</v>
      </c>
      <c r="M91" s="8" t="s">
        <v>670</v>
      </c>
      <c r="N91" s="8" t="s">
        <v>41</v>
      </c>
      <c r="O91" s="8" t="s">
        <v>42</v>
      </c>
      <c r="P91" s="6" t="s">
        <v>43</v>
      </c>
      <c r="Q91" s="8" t="s">
        <v>56</v>
      </c>
      <c r="R91" s="10" t="s">
        <v>671</v>
      </c>
      <c r="S91" s="11" t="s">
        <v>672</v>
      </c>
      <c r="T91" s="6"/>
      <c r="U91" s="27" t="str">
        <f>HYPERLINK("https://media.infra-m.ru/2021/2021423/cover/2021423.jpg", "Обложка")</f>
        <v>Обложка</v>
      </c>
      <c r="V91" s="27" t="str">
        <f>HYPERLINK("https://znanium.com/catalog/product/961444", "Ознакомиться")</f>
        <v>Ознакомиться</v>
      </c>
      <c r="W91" s="8" t="s">
        <v>188</v>
      </c>
      <c r="X91" s="6"/>
      <c r="Y91" s="6"/>
      <c r="Z91" s="6" t="s">
        <v>60</v>
      </c>
      <c r="AA91" s="6" t="s">
        <v>70</v>
      </c>
    </row>
    <row r="92" spans="1:27" s="4" customFormat="1" ht="51.95" customHeight="1">
      <c r="A92" s="5">
        <v>0</v>
      </c>
      <c r="B92" s="6" t="s">
        <v>673</v>
      </c>
      <c r="C92" s="13">
        <v>1554</v>
      </c>
      <c r="D92" s="8" t="s">
        <v>674</v>
      </c>
      <c r="E92" s="8" t="s">
        <v>668</v>
      </c>
      <c r="F92" s="8" t="s">
        <v>669</v>
      </c>
      <c r="G92" s="6" t="s">
        <v>37</v>
      </c>
      <c r="H92" s="6" t="s">
        <v>38</v>
      </c>
      <c r="I92" s="8" t="s">
        <v>73</v>
      </c>
      <c r="J92" s="9">
        <v>1</v>
      </c>
      <c r="K92" s="9">
        <v>337</v>
      </c>
      <c r="L92" s="9">
        <v>2024</v>
      </c>
      <c r="M92" s="8" t="s">
        <v>675</v>
      </c>
      <c r="N92" s="8" t="s">
        <v>41</v>
      </c>
      <c r="O92" s="8" t="s">
        <v>42</v>
      </c>
      <c r="P92" s="6" t="s">
        <v>43</v>
      </c>
      <c r="Q92" s="8" t="s">
        <v>75</v>
      </c>
      <c r="R92" s="10" t="s">
        <v>676</v>
      </c>
      <c r="S92" s="11" t="s">
        <v>677</v>
      </c>
      <c r="T92" s="6"/>
      <c r="U92" s="27" t="str">
        <f>HYPERLINK("https://media.infra-m.ru/2006/2006029/cover/2006029.jpg", "Обложка")</f>
        <v>Обложка</v>
      </c>
      <c r="V92" s="12"/>
      <c r="W92" s="8" t="s">
        <v>188</v>
      </c>
      <c r="X92" s="6"/>
      <c r="Y92" s="6"/>
      <c r="Z92" s="6"/>
      <c r="AA92" s="6" t="s">
        <v>78</v>
      </c>
    </row>
    <row r="93" spans="1:27" s="4" customFormat="1" ht="51.95" customHeight="1">
      <c r="A93" s="5">
        <v>0</v>
      </c>
      <c r="B93" s="6" t="s">
        <v>678</v>
      </c>
      <c r="C93" s="13">
        <v>1494.9</v>
      </c>
      <c r="D93" s="8" t="s">
        <v>679</v>
      </c>
      <c r="E93" s="8" t="s">
        <v>680</v>
      </c>
      <c r="F93" s="8" t="s">
        <v>138</v>
      </c>
      <c r="G93" s="6" t="s">
        <v>92</v>
      </c>
      <c r="H93" s="6" t="s">
        <v>38</v>
      </c>
      <c r="I93" s="8" t="s">
        <v>53</v>
      </c>
      <c r="J93" s="9">
        <v>1</v>
      </c>
      <c r="K93" s="9">
        <v>351</v>
      </c>
      <c r="L93" s="9">
        <v>2023</v>
      </c>
      <c r="M93" s="8" t="s">
        <v>681</v>
      </c>
      <c r="N93" s="8" t="s">
        <v>41</v>
      </c>
      <c r="O93" s="8" t="s">
        <v>42</v>
      </c>
      <c r="P93" s="6" t="s">
        <v>43</v>
      </c>
      <c r="Q93" s="8" t="s">
        <v>56</v>
      </c>
      <c r="R93" s="10" t="s">
        <v>682</v>
      </c>
      <c r="S93" s="11" t="s">
        <v>683</v>
      </c>
      <c r="T93" s="6"/>
      <c r="U93" s="27" t="str">
        <f>HYPERLINK("https://media.infra-m.ru/1873/1873961/cover/1873961.jpg", "Обложка")</f>
        <v>Обложка</v>
      </c>
      <c r="V93" s="27" t="str">
        <f>HYPERLINK("https://znanium.com/catalog/product/961446", "Ознакомиться")</f>
        <v>Ознакомиться</v>
      </c>
      <c r="W93" s="8"/>
      <c r="X93" s="6"/>
      <c r="Y93" s="6"/>
      <c r="Z93" s="6" t="s">
        <v>60</v>
      </c>
      <c r="AA93" s="6" t="s">
        <v>299</v>
      </c>
    </row>
    <row r="94" spans="1:27" s="4" customFormat="1" ht="51.95" customHeight="1">
      <c r="A94" s="5">
        <v>0</v>
      </c>
      <c r="B94" s="6" t="s">
        <v>684</v>
      </c>
      <c r="C94" s="13">
        <v>1614</v>
      </c>
      <c r="D94" s="8" t="s">
        <v>685</v>
      </c>
      <c r="E94" s="8" t="s">
        <v>680</v>
      </c>
      <c r="F94" s="8" t="s">
        <v>130</v>
      </c>
      <c r="G94" s="6" t="s">
        <v>37</v>
      </c>
      <c r="H94" s="6" t="s">
        <v>38</v>
      </c>
      <c r="I94" s="8" t="s">
        <v>73</v>
      </c>
      <c r="J94" s="9">
        <v>1</v>
      </c>
      <c r="K94" s="9">
        <v>351</v>
      </c>
      <c r="L94" s="9">
        <v>2024</v>
      </c>
      <c r="M94" s="8" t="s">
        <v>686</v>
      </c>
      <c r="N94" s="8" t="s">
        <v>41</v>
      </c>
      <c r="O94" s="8" t="s">
        <v>42</v>
      </c>
      <c r="P94" s="6" t="s">
        <v>43</v>
      </c>
      <c r="Q94" s="8" t="s">
        <v>75</v>
      </c>
      <c r="R94" s="10" t="s">
        <v>687</v>
      </c>
      <c r="S94" s="11" t="s">
        <v>688</v>
      </c>
      <c r="T94" s="6"/>
      <c r="U94" s="27" t="str">
        <f>HYPERLINK("https://media.infra-m.ru/2054/2054981/cover/2054981.jpg", "Обложка")</f>
        <v>Обложка</v>
      </c>
      <c r="V94" s="27" t="str">
        <f>HYPERLINK("https://znanium.com/catalog/product/1320063", "Ознакомиться")</f>
        <v>Ознакомиться</v>
      </c>
      <c r="W94" s="8"/>
      <c r="X94" s="6"/>
      <c r="Y94" s="6"/>
      <c r="Z94" s="6"/>
      <c r="AA94" s="6" t="s">
        <v>469</v>
      </c>
    </row>
    <row r="95" spans="1:27" s="4" customFormat="1" ht="51.95" customHeight="1">
      <c r="A95" s="5">
        <v>0</v>
      </c>
      <c r="B95" s="6" t="s">
        <v>689</v>
      </c>
      <c r="C95" s="7">
        <v>850</v>
      </c>
      <c r="D95" s="8" t="s">
        <v>690</v>
      </c>
      <c r="E95" s="8" t="s">
        <v>691</v>
      </c>
      <c r="F95" s="8" t="s">
        <v>692</v>
      </c>
      <c r="G95" s="6" t="s">
        <v>37</v>
      </c>
      <c r="H95" s="6" t="s">
        <v>38</v>
      </c>
      <c r="I95" s="8" t="s">
        <v>53</v>
      </c>
      <c r="J95" s="9">
        <v>1</v>
      </c>
      <c r="K95" s="9">
        <v>190</v>
      </c>
      <c r="L95" s="9">
        <v>2023</v>
      </c>
      <c r="M95" s="8" t="s">
        <v>693</v>
      </c>
      <c r="N95" s="8" t="s">
        <v>41</v>
      </c>
      <c r="O95" s="8" t="s">
        <v>42</v>
      </c>
      <c r="P95" s="6" t="s">
        <v>43</v>
      </c>
      <c r="Q95" s="8" t="s">
        <v>56</v>
      </c>
      <c r="R95" s="10" t="s">
        <v>163</v>
      </c>
      <c r="S95" s="11" t="s">
        <v>694</v>
      </c>
      <c r="T95" s="6"/>
      <c r="U95" s="27" t="str">
        <f>HYPERLINK("https://media.infra-m.ru/1891/1891925/cover/1891925.jpg", "Обложка")</f>
        <v>Обложка</v>
      </c>
      <c r="V95" s="27" t="str">
        <f>HYPERLINK("https://znanium.com/catalog/product/1891925", "Ознакомиться")</f>
        <v>Ознакомиться</v>
      </c>
      <c r="W95" s="8" t="s">
        <v>188</v>
      </c>
      <c r="X95" s="6"/>
      <c r="Y95" s="6"/>
      <c r="Z95" s="6" t="s">
        <v>60</v>
      </c>
      <c r="AA95" s="6" t="s">
        <v>126</v>
      </c>
    </row>
    <row r="96" spans="1:27" s="4" customFormat="1" ht="51.95" customHeight="1">
      <c r="A96" s="5">
        <v>0</v>
      </c>
      <c r="B96" s="6" t="s">
        <v>695</v>
      </c>
      <c r="C96" s="7">
        <v>854</v>
      </c>
      <c r="D96" s="8" t="s">
        <v>696</v>
      </c>
      <c r="E96" s="8" t="s">
        <v>691</v>
      </c>
      <c r="F96" s="8" t="s">
        <v>692</v>
      </c>
      <c r="G96" s="6" t="s">
        <v>37</v>
      </c>
      <c r="H96" s="6" t="s">
        <v>38</v>
      </c>
      <c r="I96" s="8" t="s">
        <v>73</v>
      </c>
      <c r="J96" s="9">
        <v>1</v>
      </c>
      <c r="K96" s="9">
        <v>190</v>
      </c>
      <c r="L96" s="9">
        <v>2023</v>
      </c>
      <c r="M96" s="8" t="s">
        <v>697</v>
      </c>
      <c r="N96" s="8" t="s">
        <v>41</v>
      </c>
      <c r="O96" s="8" t="s">
        <v>42</v>
      </c>
      <c r="P96" s="6" t="s">
        <v>43</v>
      </c>
      <c r="Q96" s="8" t="s">
        <v>75</v>
      </c>
      <c r="R96" s="10" t="s">
        <v>698</v>
      </c>
      <c r="S96" s="11" t="s">
        <v>699</v>
      </c>
      <c r="T96" s="6"/>
      <c r="U96" s="27" t="str">
        <f>HYPERLINK("https://media.infra-m.ru/1872/1872359/cover/1872359.jpg", "Обложка")</f>
        <v>Обложка</v>
      </c>
      <c r="V96" s="27" t="str">
        <f>HYPERLINK("https://znanium.com/catalog/product/1629879", "Ознакомиться")</f>
        <v>Ознакомиться</v>
      </c>
      <c r="W96" s="8" t="s">
        <v>188</v>
      </c>
      <c r="X96" s="6"/>
      <c r="Y96" s="6"/>
      <c r="Z96" s="6"/>
      <c r="AA96" s="6" t="s">
        <v>222</v>
      </c>
    </row>
    <row r="97" spans="1:27" s="4" customFormat="1" ht="42" customHeight="1">
      <c r="A97" s="5">
        <v>0</v>
      </c>
      <c r="B97" s="6" t="s">
        <v>700</v>
      </c>
      <c r="C97" s="7">
        <v>424.9</v>
      </c>
      <c r="D97" s="8" t="s">
        <v>701</v>
      </c>
      <c r="E97" s="8" t="s">
        <v>702</v>
      </c>
      <c r="F97" s="8" t="s">
        <v>703</v>
      </c>
      <c r="G97" s="6" t="s">
        <v>119</v>
      </c>
      <c r="H97" s="6" t="s">
        <v>52</v>
      </c>
      <c r="I97" s="8"/>
      <c r="J97" s="9">
        <v>1</v>
      </c>
      <c r="K97" s="9">
        <v>126</v>
      </c>
      <c r="L97" s="9">
        <v>2019</v>
      </c>
      <c r="M97" s="8" t="s">
        <v>704</v>
      </c>
      <c r="N97" s="8" t="s">
        <v>41</v>
      </c>
      <c r="O97" s="8" t="s">
        <v>42</v>
      </c>
      <c r="P97" s="6" t="s">
        <v>43</v>
      </c>
      <c r="Q97" s="8" t="s">
        <v>75</v>
      </c>
      <c r="R97" s="10" t="s">
        <v>705</v>
      </c>
      <c r="S97" s="11"/>
      <c r="T97" s="6"/>
      <c r="U97" s="27" t="str">
        <f>HYPERLINK("https://media.infra-m.ru/1048/1048490/cover/1048490.jpg", "Обложка")</f>
        <v>Обложка</v>
      </c>
      <c r="V97" s="27" t="str">
        <f>HYPERLINK("https://znanium.com/catalog/product/2099067", "Ознакомиться")</f>
        <v>Ознакомиться</v>
      </c>
      <c r="W97" s="8" t="s">
        <v>706</v>
      </c>
      <c r="X97" s="6"/>
      <c r="Y97" s="6"/>
      <c r="Z97" s="6"/>
      <c r="AA97" s="6" t="s">
        <v>106</v>
      </c>
    </row>
    <row r="98" spans="1:27" s="4" customFormat="1" ht="51.95" customHeight="1">
      <c r="A98" s="5">
        <v>0</v>
      </c>
      <c r="B98" s="6" t="s">
        <v>707</v>
      </c>
      <c r="C98" s="7">
        <v>690</v>
      </c>
      <c r="D98" s="8" t="s">
        <v>708</v>
      </c>
      <c r="E98" s="8" t="s">
        <v>709</v>
      </c>
      <c r="F98" s="8" t="s">
        <v>710</v>
      </c>
      <c r="G98" s="6" t="s">
        <v>92</v>
      </c>
      <c r="H98" s="6" t="s">
        <v>52</v>
      </c>
      <c r="I98" s="8" t="s">
        <v>73</v>
      </c>
      <c r="J98" s="9">
        <v>1</v>
      </c>
      <c r="K98" s="9">
        <v>155</v>
      </c>
      <c r="L98" s="9">
        <v>2022</v>
      </c>
      <c r="M98" s="8" t="s">
        <v>711</v>
      </c>
      <c r="N98" s="8" t="s">
        <v>41</v>
      </c>
      <c r="O98" s="8" t="s">
        <v>42</v>
      </c>
      <c r="P98" s="6" t="s">
        <v>43</v>
      </c>
      <c r="Q98" s="8" t="s">
        <v>75</v>
      </c>
      <c r="R98" s="10" t="s">
        <v>705</v>
      </c>
      <c r="S98" s="11" t="s">
        <v>712</v>
      </c>
      <c r="T98" s="6"/>
      <c r="U98" s="27" t="str">
        <f>HYPERLINK("https://media.infra-m.ru/1003/1003297/cover/1003297.jpg", "Обложка")</f>
        <v>Обложка</v>
      </c>
      <c r="V98" s="27" t="str">
        <f>HYPERLINK("https://znanium.com/catalog/product/2099067", "Ознакомиться")</f>
        <v>Ознакомиться</v>
      </c>
      <c r="W98" s="8" t="s">
        <v>706</v>
      </c>
      <c r="X98" s="6"/>
      <c r="Y98" s="6"/>
      <c r="Z98" s="6"/>
      <c r="AA98" s="6" t="s">
        <v>70</v>
      </c>
    </row>
    <row r="99" spans="1:27" s="4" customFormat="1" ht="51.95" customHeight="1">
      <c r="A99" s="5">
        <v>0</v>
      </c>
      <c r="B99" s="6" t="s">
        <v>713</v>
      </c>
      <c r="C99" s="7">
        <v>940</v>
      </c>
      <c r="D99" s="8" t="s">
        <v>714</v>
      </c>
      <c r="E99" s="8" t="s">
        <v>715</v>
      </c>
      <c r="F99" s="8" t="s">
        <v>716</v>
      </c>
      <c r="G99" s="6" t="s">
        <v>119</v>
      </c>
      <c r="H99" s="6" t="s">
        <v>717</v>
      </c>
      <c r="I99" s="8" t="s">
        <v>120</v>
      </c>
      <c r="J99" s="9">
        <v>1</v>
      </c>
      <c r="K99" s="9">
        <v>208</v>
      </c>
      <c r="L99" s="9">
        <v>2021</v>
      </c>
      <c r="M99" s="8" t="s">
        <v>718</v>
      </c>
      <c r="N99" s="8" t="s">
        <v>41</v>
      </c>
      <c r="O99" s="8" t="s">
        <v>42</v>
      </c>
      <c r="P99" s="6" t="s">
        <v>122</v>
      </c>
      <c r="Q99" s="8" t="s">
        <v>123</v>
      </c>
      <c r="R99" s="10" t="s">
        <v>719</v>
      </c>
      <c r="S99" s="11"/>
      <c r="T99" s="6"/>
      <c r="U99" s="27" t="str">
        <f>HYPERLINK("https://media.infra-m.ru/1238/1238776/cover/1238776.jpg", "Обложка")</f>
        <v>Обложка</v>
      </c>
      <c r="V99" s="27" t="str">
        <f>HYPERLINK("https://znanium.com/catalog/product/1238776", "Ознакомиться")</f>
        <v>Ознакомиться</v>
      </c>
      <c r="W99" s="8" t="s">
        <v>720</v>
      </c>
      <c r="X99" s="6"/>
      <c r="Y99" s="6"/>
      <c r="Z99" s="6"/>
      <c r="AA99" s="6" t="s">
        <v>47</v>
      </c>
    </row>
    <row r="100" spans="1:27" s="4" customFormat="1" ht="44.1" customHeight="1">
      <c r="A100" s="5">
        <v>0</v>
      </c>
      <c r="B100" s="6" t="s">
        <v>721</v>
      </c>
      <c r="C100" s="13">
        <v>1114</v>
      </c>
      <c r="D100" s="8" t="s">
        <v>722</v>
      </c>
      <c r="E100" s="8" t="s">
        <v>723</v>
      </c>
      <c r="F100" s="8" t="s">
        <v>724</v>
      </c>
      <c r="G100" s="6" t="s">
        <v>37</v>
      </c>
      <c r="H100" s="6" t="s">
        <v>38</v>
      </c>
      <c r="I100" s="8" t="s">
        <v>120</v>
      </c>
      <c r="J100" s="9">
        <v>1</v>
      </c>
      <c r="K100" s="9">
        <v>241</v>
      </c>
      <c r="L100" s="9">
        <v>2024</v>
      </c>
      <c r="M100" s="8" t="s">
        <v>725</v>
      </c>
      <c r="N100" s="8" t="s">
        <v>41</v>
      </c>
      <c r="O100" s="8" t="s">
        <v>42</v>
      </c>
      <c r="P100" s="6" t="s">
        <v>122</v>
      </c>
      <c r="Q100" s="8" t="s">
        <v>123</v>
      </c>
      <c r="R100" s="10" t="s">
        <v>726</v>
      </c>
      <c r="S100" s="11"/>
      <c r="T100" s="6"/>
      <c r="U100" s="27" t="str">
        <f>HYPERLINK("https://media.infra-m.ru/2096/2096078/cover/2096078.jpg", "Обложка")</f>
        <v>Обложка</v>
      </c>
      <c r="V100" s="27" t="str">
        <f>HYPERLINK("https://znanium.com/catalog/product/1875215", "Ознакомиться")</f>
        <v>Ознакомиться</v>
      </c>
      <c r="W100" s="8" t="s">
        <v>86</v>
      </c>
      <c r="X100" s="6"/>
      <c r="Y100" s="6"/>
      <c r="Z100" s="6"/>
      <c r="AA100" s="6" t="s">
        <v>382</v>
      </c>
    </row>
    <row r="101" spans="1:27" s="4" customFormat="1" ht="51.95" customHeight="1">
      <c r="A101" s="5">
        <v>0</v>
      </c>
      <c r="B101" s="6" t="s">
        <v>727</v>
      </c>
      <c r="C101" s="7">
        <v>410</v>
      </c>
      <c r="D101" s="8" t="s">
        <v>728</v>
      </c>
      <c r="E101" s="8" t="s">
        <v>729</v>
      </c>
      <c r="F101" s="8" t="s">
        <v>730</v>
      </c>
      <c r="G101" s="6" t="s">
        <v>119</v>
      </c>
      <c r="H101" s="6" t="s">
        <v>131</v>
      </c>
      <c r="I101" s="8" t="s">
        <v>53</v>
      </c>
      <c r="J101" s="9">
        <v>1</v>
      </c>
      <c r="K101" s="9">
        <v>96</v>
      </c>
      <c r="L101" s="9">
        <v>2020</v>
      </c>
      <c r="M101" s="8" t="s">
        <v>731</v>
      </c>
      <c r="N101" s="8" t="s">
        <v>41</v>
      </c>
      <c r="O101" s="8" t="s">
        <v>42</v>
      </c>
      <c r="P101" s="6" t="s">
        <v>43</v>
      </c>
      <c r="Q101" s="8" t="s">
        <v>56</v>
      </c>
      <c r="R101" s="10" t="s">
        <v>732</v>
      </c>
      <c r="S101" s="11" t="s">
        <v>733</v>
      </c>
      <c r="T101" s="6"/>
      <c r="U101" s="27" t="str">
        <f>HYPERLINK("https://media.infra-m.ru/1128/1128281/cover/1128281.jpg", "Обложка")</f>
        <v>Обложка</v>
      </c>
      <c r="V101" s="27" t="str">
        <f>HYPERLINK("https://znanium.com/catalog/product/1200567", "Ознакомиться")</f>
        <v>Ознакомиться</v>
      </c>
      <c r="W101" s="8" t="s">
        <v>734</v>
      </c>
      <c r="X101" s="6"/>
      <c r="Y101" s="6"/>
      <c r="Z101" s="6"/>
      <c r="AA101" s="6" t="s">
        <v>213</v>
      </c>
    </row>
    <row r="102" spans="1:27" s="4" customFormat="1" ht="51.95" customHeight="1">
      <c r="A102" s="5">
        <v>0</v>
      </c>
      <c r="B102" s="6" t="s">
        <v>735</v>
      </c>
      <c r="C102" s="7">
        <v>990</v>
      </c>
      <c r="D102" s="8" t="s">
        <v>736</v>
      </c>
      <c r="E102" s="8" t="s">
        <v>737</v>
      </c>
      <c r="F102" s="8" t="s">
        <v>738</v>
      </c>
      <c r="G102" s="6" t="s">
        <v>37</v>
      </c>
      <c r="H102" s="6" t="s">
        <v>38</v>
      </c>
      <c r="I102" s="8" t="s">
        <v>53</v>
      </c>
      <c r="J102" s="9">
        <v>1</v>
      </c>
      <c r="K102" s="9">
        <v>209</v>
      </c>
      <c r="L102" s="9">
        <v>2023</v>
      </c>
      <c r="M102" s="8" t="s">
        <v>739</v>
      </c>
      <c r="N102" s="8" t="s">
        <v>41</v>
      </c>
      <c r="O102" s="8" t="s">
        <v>42</v>
      </c>
      <c r="P102" s="6" t="s">
        <v>43</v>
      </c>
      <c r="Q102" s="8" t="s">
        <v>56</v>
      </c>
      <c r="R102" s="10" t="s">
        <v>732</v>
      </c>
      <c r="S102" s="11" t="s">
        <v>740</v>
      </c>
      <c r="T102" s="6"/>
      <c r="U102" s="27" t="str">
        <f>HYPERLINK("https://media.infra-m.ru/1200/1200567/cover/1200567.jpg", "Обложка")</f>
        <v>Обложка</v>
      </c>
      <c r="V102" s="27" t="str">
        <f>HYPERLINK("https://znanium.com/catalog/product/1200567", "Ознакомиться")</f>
        <v>Ознакомиться</v>
      </c>
      <c r="W102" s="8" t="s">
        <v>734</v>
      </c>
      <c r="X102" s="6"/>
      <c r="Y102" s="6"/>
      <c r="Z102" s="6"/>
      <c r="AA102" s="6" t="s">
        <v>741</v>
      </c>
    </row>
    <row r="103" spans="1:27" s="4" customFormat="1" ht="51.95" customHeight="1">
      <c r="A103" s="5">
        <v>0</v>
      </c>
      <c r="B103" s="6" t="s">
        <v>742</v>
      </c>
      <c r="C103" s="7">
        <v>734</v>
      </c>
      <c r="D103" s="8" t="s">
        <v>743</v>
      </c>
      <c r="E103" s="8" t="s">
        <v>744</v>
      </c>
      <c r="F103" s="8" t="s">
        <v>745</v>
      </c>
      <c r="G103" s="6" t="s">
        <v>119</v>
      </c>
      <c r="H103" s="6" t="s">
        <v>131</v>
      </c>
      <c r="I103" s="8" t="s">
        <v>132</v>
      </c>
      <c r="J103" s="9">
        <v>1</v>
      </c>
      <c r="K103" s="9">
        <v>160</v>
      </c>
      <c r="L103" s="9">
        <v>2024</v>
      </c>
      <c r="M103" s="8" t="s">
        <v>746</v>
      </c>
      <c r="N103" s="8" t="s">
        <v>41</v>
      </c>
      <c r="O103" s="8" t="s">
        <v>42</v>
      </c>
      <c r="P103" s="6" t="s">
        <v>43</v>
      </c>
      <c r="Q103" s="8" t="s">
        <v>75</v>
      </c>
      <c r="R103" s="10" t="s">
        <v>747</v>
      </c>
      <c r="S103" s="11" t="s">
        <v>748</v>
      </c>
      <c r="T103" s="6"/>
      <c r="U103" s="27" t="str">
        <f>HYPERLINK("https://media.infra-m.ru/2048/2048142/cover/2048142.jpg", "Обложка")</f>
        <v>Обложка</v>
      </c>
      <c r="V103" s="27" t="str">
        <f>HYPERLINK("https://znanium.com/catalog/product/1844317", "Ознакомиться")</f>
        <v>Ознакомиться</v>
      </c>
      <c r="W103" s="8" t="s">
        <v>125</v>
      </c>
      <c r="X103" s="6"/>
      <c r="Y103" s="6"/>
      <c r="Z103" s="6"/>
      <c r="AA103" s="6" t="s">
        <v>114</v>
      </c>
    </row>
    <row r="104" spans="1:27" s="4" customFormat="1" ht="51.95" customHeight="1">
      <c r="A104" s="5">
        <v>0</v>
      </c>
      <c r="B104" s="6" t="s">
        <v>749</v>
      </c>
      <c r="C104" s="7">
        <v>734</v>
      </c>
      <c r="D104" s="8" t="s">
        <v>750</v>
      </c>
      <c r="E104" s="8" t="s">
        <v>744</v>
      </c>
      <c r="F104" s="8" t="s">
        <v>751</v>
      </c>
      <c r="G104" s="6" t="s">
        <v>92</v>
      </c>
      <c r="H104" s="6" t="s">
        <v>131</v>
      </c>
      <c r="I104" s="8" t="s">
        <v>53</v>
      </c>
      <c r="J104" s="9">
        <v>1</v>
      </c>
      <c r="K104" s="9">
        <v>160</v>
      </c>
      <c r="L104" s="9">
        <v>2023</v>
      </c>
      <c r="M104" s="8" t="s">
        <v>752</v>
      </c>
      <c r="N104" s="8" t="s">
        <v>41</v>
      </c>
      <c r="O104" s="8" t="s">
        <v>42</v>
      </c>
      <c r="P104" s="6" t="s">
        <v>43</v>
      </c>
      <c r="Q104" s="8" t="s">
        <v>56</v>
      </c>
      <c r="R104" s="10" t="s">
        <v>753</v>
      </c>
      <c r="S104" s="11" t="s">
        <v>754</v>
      </c>
      <c r="T104" s="6"/>
      <c r="U104" s="27" t="str">
        <f>HYPERLINK("https://media.infra-m.ru/2021/2021469/cover/2021469.jpg", "Обложка")</f>
        <v>Обложка</v>
      </c>
      <c r="V104" s="27" t="str">
        <f>HYPERLINK("https://znanium.com/catalog/product/1031931", "Ознакомиться")</f>
        <v>Ознакомиться</v>
      </c>
      <c r="W104" s="8" t="s">
        <v>125</v>
      </c>
      <c r="X104" s="6"/>
      <c r="Y104" s="6"/>
      <c r="Z104" s="6" t="s">
        <v>60</v>
      </c>
      <c r="AA104" s="6" t="s">
        <v>126</v>
      </c>
    </row>
    <row r="105" spans="1:27" s="4" customFormat="1" ht="51.95" customHeight="1">
      <c r="A105" s="5">
        <v>0</v>
      </c>
      <c r="B105" s="6" t="s">
        <v>755</v>
      </c>
      <c r="C105" s="13">
        <v>1824.9</v>
      </c>
      <c r="D105" s="8" t="s">
        <v>756</v>
      </c>
      <c r="E105" s="8" t="s">
        <v>757</v>
      </c>
      <c r="F105" s="8" t="s">
        <v>758</v>
      </c>
      <c r="G105" s="6" t="s">
        <v>92</v>
      </c>
      <c r="H105" s="6" t="s">
        <v>93</v>
      </c>
      <c r="I105" s="8"/>
      <c r="J105" s="9">
        <v>1</v>
      </c>
      <c r="K105" s="9">
        <v>480</v>
      </c>
      <c r="L105" s="9">
        <v>2022</v>
      </c>
      <c r="M105" s="8" t="s">
        <v>759</v>
      </c>
      <c r="N105" s="8" t="s">
        <v>41</v>
      </c>
      <c r="O105" s="8" t="s">
        <v>42</v>
      </c>
      <c r="P105" s="6" t="s">
        <v>43</v>
      </c>
      <c r="Q105" s="8" t="s">
        <v>75</v>
      </c>
      <c r="R105" s="10" t="s">
        <v>760</v>
      </c>
      <c r="S105" s="11" t="s">
        <v>761</v>
      </c>
      <c r="T105" s="6"/>
      <c r="U105" s="27" t="str">
        <f>HYPERLINK("https://media.infra-m.ru/1842/1842552/cover/1842552.jpg", "Обложка")</f>
        <v>Обложка</v>
      </c>
      <c r="V105" s="27" t="str">
        <f>HYPERLINK("https://znanium.com/catalog/product/1842552", "Ознакомиться")</f>
        <v>Ознакомиться</v>
      </c>
      <c r="W105" s="8" t="s">
        <v>762</v>
      </c>
      <c r="X105" s="6"/>
      <c r="Y105" s="6"/>
      <c r="Z105" s="6"/>
      <c r="AA105" s="6" t="s">
        <v>47</v>
      </c>
    </row>
    <row r="106" spans="1:27" s="4" customFormat="1" ht="51.95" customHeight="1">
      <c r="A106" s="5">
        <v>0</v>
      </c>
      <c r="B106" s="6" t="s">
        <v>763</v>
      </c>
      <c r="C106" s="13">
        <v>1770</v>
      </c>
      <c r="D106" s="8" t="s">
        <v>764</v>
      </c>
      <c r="E106" s="8" t="s">
        <v>765</v>
      </c>
      <c r="F106" s="8" t="s">
        <v>766</v>
      </c>
      <c r="G106" s="6" t="s">
        <v>37</v>
      </c>
      <c r="H106" s="6" t="s">
        <v>131</v>
      </c>
      <c r="I106" s="8" t="s">
        <v>132</v>
      </c>
      <c r="J106" s="9">
        <v>1</v>
      </c>
      <c r="K106" s="9">
        <v>384</v>
      </c>
      <c r="L106" s="9">
        <v>2024</v>
      </c>
      <c r="M106" s="8" t="s">
        <v>767</v>
      </c>
      <c r="N106" s="8" t="s">
        <v>41</v>
      </c>
      <c r="O106" s="8" t="s">
        <v>42</v>
      </c>
      <c r="P106" s="6" t="s">
        <v>55</v>
      </c>
      <c r="Q106" s="8" t="s">
        <v>75</v>
      </c>
      <c r="R106" s="10" t="s">
        <v>768</v>
      </c>
      <c r="S106" s="11" t="s">
        <v>769</v>
      </c>
      <c r="T106" s="6"/>
      <c r="U106" s="27" t="str">
        <f>HYPERLINK("https://media.infra-m.ru/2111/2111789/cover/2111789.jpg", "Обложка")</f>
        <v>Обложка</v>
      </c>
      <c r="V106" s="27" t="str">
        <f>HYPERLINK("https://znanium.com/catalog/product/2111789", "Ознакомиться")</f>
        <v>Ознакомиться</v>
      </c>
      <c r="W106" s="8" t="s">
        <v>125</v>
      </c>
      <c r="X106" s="6"/>
      <c r="Y106" s="6"/>
      <c r="Z106" s="6"/>
      <c r="AA106" s="6" t="s">
        <v>150</v>
      </c>
    </row>
    <row r="107" spans="1:27" s="4" customFormat="1" ht="44.1" customHeight="1">
      <c r="A107" s="5">
        <v>0</v>
      </c>
      <c r="B107" s="6" t="s">
        <v>770</v>
      </c>
      <c r="C107" s="7">
        <v>294.89999999999998</v>
      </c>
      <c r="D107" s="8" t="s">
        <v>771</v>
      </c>
      <c r="E107" s="8" t="s">
        <v>772</v>
      </c>
      <c r="F107" s="8" t="s">
        <v>773</v>
      </c>
      <c r="G107" s="6" t="s">
        <v>119</v>
      </c>
      <c r="H107" s="6" t="s">
        <v>93</v>
      </c>
      <c r="I107" s="8"/>
      <c r="J107" s="9">
        <v>1</v>
      </c>
      <c r="K107" s="9">
        <v>96</v>
      </c>
      <c r="L107" s="9">
        <v>2017</v>
      </c>
      <c r="M107" s="8" t="s">
        <v>774</v>
      </c>
      <c r="N107" s="8" t="s">
        <v>41</v>
      </c>
      <c r="O107" s="8" t="s">
        <v>401</v>
      </c>
      <c r="P107" s="6" t="s">
        <v>122</v>
      </c>
      <c r="Q107" s="8" t="s">
        <v>123</v>
      </c>
      <c r="R107" s="10" t="s">
        <v>775</v>
      </c>
      <c r="S107" s="11"/>
      <c r="T107" s="6"/>
      <c r="U107" s="27" t="str">
        <f>HYPERLINK("https://media.infra-m.ru/0883/0883138/cover/883138.jpg", "Обложка")</f>
        <v>Обложка</v>
      </c>
      <c r="V107" s="27" t="str">
        <f>HYPERLINK("https://znanium.com/catalog/product/262373", "Ознакомиться")</f>
        <v>Ознакомиться</v>
      </c>
      <c r="W107" s="8" t="s">
        <v>46</v>
      </c>
      <c r="X107" s="6"/>
      <c r="Y107" s="6"/>
      <c r="Z107" s="6"/>
      <c r="AA107" s="6" t="s">
        <v>150</v>
      </c>
    </row>
    <row r="108" spans="1:27" s="4" customFormat="1" ht="44.1" customHeight="1">
      <c r="A108" s="5">
        <v>0</v>
      </c>
      <c r="B108" s="6" t="s">
        <v>776</v>
      </c>
      <c r="C108" s="7">
        <v>780</v>
      </c>
      <c r="D108" s="8" t="s">
        <v>777</v>
      </c>
      <c r="E108" s="8" t="s">
        <v>778</v>
      </c>
      <c r="F108" s="8" t="s">
        <v>779</v>
      </c>
      <c r="G108" s="6" t="s">
        <v>119</v>
      </c>
      <c r="H108" s="6" t="s">
        <v>209</v>
      </c>
      <c r="I108" s="8" t="s">
        <v>120</v>
      </c>
      <c r="J108" s="9">
        <v>1</v>
      </c>
      <c r="K108" s="9">
        <v>169</v>
      </c>
      <c r="L108" s="9">
        <v>2023</v>
      </c>
      <c r="M108" s="8" t="s">
        <v>780</v>
      </c>
      <c r="N108" s="8" t="s">
        <v>41</v>
      </c>
      <c r="O108" s="8" t="s">
        <v>42</v>
      </c>
      <c r="P108" s="6" t="s">
        <v>122</v>
      </c>
      <c r="Q108" s="8" t="s">
        <v>186</v>
      </c>
      <c r="R108" s="10" t="s">
        <v>468</v>
      </c>
      <c r="S108" s="11"/>
      <c r="T108" s="6"/>
      <c r="U108" s="27" t="str">
        <f>HYPERLINK("https://media.infra-m.ru/2043/2043284/cover/2043284.jpg", "Обложка")</f>
        <v>Обложка</v>
      </c>
      <c r="V108" s="27" t="str">
        <f>HYPERLINK("https://znanium.com/catalog/product/2043284", "Ознакомиться")</f>
        <v>Ознакомиться</v>
      </c>
      <c r="W108" s="8" t="s">
        <v>543</v>
      </c>
      <c r="X108" s="6"/>
      <c r="Y108" s="6"/>
      <c r="Z108" s="6"/>
      <c r="AA108" s="6" t="s">
        <v>781</v>
      </c>
    </row>
    <row r="109" spans="1:27" s="4" customFormat="1" ht="51.95" customHeight="1">
      <c r="A109" s="5">
        <v>0</v>
      </c>
      <c r="B109" s="6" t="s">
        <v>782</v>
      </c>
      <c r="C109" s="13">
        <v>1144</v>
      </c>
      <c r="D109" s="8" t="s">
        <v>783</v>
      </c>
      <c r="E109" s="8" t="s">
        <v>784</v>
      </c>
      <c r="F109" s="8" t="s">
        <v>785</v>
      </c>
      <c r="G109" s="6" t="s">
        <v>92</v>
      </c>
      <c r="H109" s="6" t="s">
        <v>209</v>
      </c>
      <c r="I109" s="8" t="s">
        <v>39</v>
      </c>
      <c r="J109" s="9">
        <v>1</v>
      </c>
      <c r="K109" s="9">
        <v>247</v>
      </c>
      <c r="L109" s="9">
        <v>2024</v>
      </c>
      <c r="M109" s="8" t="s">
        <v>786</v>
      </c>
      <c r="N109" s="8" t="s">
        <v>41</v>
      </c>
      <c r="O109" s="8" t="s">
        <v>42</v>
      </c>
      <c r="P109" s="6" t="s">
        <v>43</v>
      </c>
      <c r="Q109" s="8" t="s">
        <v>44</v>
      </c>
      <c r="R109" s="10" t="s">
        <v>787</v>
      </c>
      <c r="S109" s="11" t="s">
        <v>788</v>
      </c>
      <c r="T109" s="6"/>
      <c r="U109" s="27" t="str">
        <f>HYPERLINK("https://media.infra-m.ru/2087/2087266/cover/2087266.jpg", "Обложка")</f>
        <v>Обложка</v>
      </c>
      <c r="V109" s="27" t="str">
        <f>HYPERLINK("https://znanium.com/catalog/product/1852185", "Ознакомиться")</f>
        <v>Ознакомиться</v>
      </c>
      <c r="W109" s="8" t="s">
        <v>789</v>
      </c>
      <c r="X109" s="6"/>
      <c r="Y109" s="6"/>
      <c r="Z109" s="6"/>
      <c r="AA109" s="6" t="s">
        <v>346</v>
      </c>
    </row>
    <row r="110" spans="1:27" s="4" customFormat="1" ht="51.95" customHeight="1">
      <c r="A110" s="5">
        <v>0</v>
      </c>
      <c r="B110" s="6" t="s">
        <v>790</v>
      </c>
      <c r="C110" s="13">
        <v>1230</v>
      </c>
      <c r="D110" s="8" t="s">
        <v>791</v>
      </c>
      <c r="E110" s="8" t="s">
        <v>792</v>
      </c>
      <c r="F110" s="8" t="s">
        <v>793</v>
      </c>
      <c r="G110" s="6" t="s">
        <v>119</v>
      </c>
      <c r="H110" s="6" t="s">
        <v>38</v>
      </c>
      <c r="I110" s="8" t="s">
        <v>120</v>
      </c>
      <c r="J110" s="9">
        <v>1</v>
      </c>
      <c r="K110" s="9">
        <v>324</v>
      </c>
      <c r="L110" s="9">
        <v>2022</v>
      </c>
      <c r="M110" s="8" t="s">
        <v>794</v>
      </c>
      <c r="N110" s="8" t="s">
        <v>41</v>
      </c>
      <c r="O110" s="8" t="s">
        <v>42</v>
      </c>
      <c r="P110" s="6" t="s">
        <v>122</v>
      </c>
      <c r="Q110" s="8" t="s">
        <v>123</v>
      </c>
      <c r="R110" s="10" t="s">
        <v>795</v>
      </c>
      <c r="S110" s="11"/>
      <c r="T110" s="6"/>
      <c r="U110" s="27" t="str">
        <f>HYPERLINK("https://media.infra-m.ru/1681/1681652/cover/1681652.jpg", "Обложка")</f>
        <v>Обложка</v>
      </c>
      <c r="V110" s="27" t="str">
        <f>HYPERLINK("https://znanium.com/catalog/product/1681652", "Ознакомиться")</f>
        <v>Ознакомиться</v>
      </c>
      <c r="W110" s="8" t="s">
        <v>796</v>
      </c>
      <c r="X110" s="6"/>
      <c r="Y110" s="6"/>
      <c r="Z110" s="6"/>
      <c r="AA110" s="6" t="s">
        <v>382</v>
      </c>
    </row>
    <row r="111" spans="1:27" s="4" customFormat="1" ht="51.95" customHeight="1">
      <c r="A111" s="5">
        <v>0</v>
      </c>
      <c r="B111" s="6" t="s">
        <v>797</v>
      </c>
      <c r="C111" s="13">
        <v>2414.9</v>
      </c>
      <c r="D111" s="8" t="s">
        <v>798</v>
      </c>
      <c r="E111" s="8" t="s">
        <v>799</v>
      </c>
      <c r="F111" s="8" t="s">
        <v>800</v>
      </c>
      <c r="G111" s="6" t="s">
        <v>119</v>
      </c>
      <c r="H111" s="6" t="s">
        <v>209</v>
      </c>
      <c r="I111" s="8" t="s">
        <v>120</v>
      </c>
      <c r="J111" s="9">
        <v>1</v>
      </c>
      <c r="K111" s="9">
        <v>512</v>
      </c>
      <c r="L111" s="9">
        <v>2024</v>
      </c>
      <c r="M111" s="8" t="s">
        <v>801</v>
      </c>
      <c r="N111" s="8" t="s">
        <v>41</v>
      </c>
      <c r="O111" s="8" t="s">
        <v>42</v>
      </c>
      <c r="P111" s="6" t="s">
        <v>122</v>
      </c>
      <c r="Q111" s="8" t="s">
        <v>123</v>
      </c>
      <c r="R111" s="10" t="s">
        <v>802</v>
      </c>
      <c r="S111" s="11"/>
      <c r="T111" s="6"/>
      <c r="U111" s="27" t="str">
        <f>HYPERLINK("https://media.infra-m.ru/1852/1852229/cover/1852229.jpg", "Обложка")</f>
        <v>Обложка</v>
      </c>
      <c r="V111" s="27" t="str">
        <f>HYPERLINK("https://znanium.com/catalog/product/1002026", "Ознакомиться")</f>
        <v>Ознакомиться</v>
      </c>
      <c r="W111" s="8" t="s">
        <v>803</v>
      </c>
      <c r="X111" s="6"/>
      <c r="Y111" s="6"/>
      <c r="Z111" s="6"/>
      <c r="AA111" s="6" t="s">
        <v>213</v>
      </c>
    </row>
    <row r="112" spans="1:27" s="4" customFormat="1" ht="51.95" customHeight="1">
      <c r="A112" s="5">
        <v>0</v>
      </c>
      <c r="B112" s="6" t="s">
        <v>804</v>
      </c>
      <c r="C112" s="13">
        <v>1090</v>
      </c>
      <c r="D112" s="8" t="s">
        <v>805</v>
      </c>
      <c r="E112" s="8" t="s">
        <v>806</v>
      </c>
      <c r="F112" s="8" t="s">
        <v>807</v>
      </c>
      <c r="G112" s="6" t="s">
        <v>92</v>
      </c>
      <c r="H112" s="6" t="s">
        <v>38</v>
      </c>
      <c r="I112" s="8" t="s">
        <v>73</v>
      </c>
      <c r="J112" s="9">
        <v>1</v>
      </c>
      <c r="K112" s="9">
        <v>223</v>
      </c>
      <c r="L112" s="9">
        <v>2022</v>
      </c>
      <c r="M112" s="8" t="s">
        <v>808</v>
      </c>
      <c r="N112" s="8" t="s">
        <v>41</v>
      </c>
      <c r="O112" s="8" t="s">
        <v>42</v>
      </c>
      <c r="P112" s="6" t="s">
        <v>43</v>
      </c>
      <c r="Q112" s="8" t="s">
        <v>75</v>
      </c>
      <c r="R112" s="10" t="s">
        <v>760</v>
      </c>
      <c r="S112" s="11" t="s">
        <v>809</v>
      </c>
      <c r="T112" s="6"/>
      <c r="U112" s="27" t="str">
        <f>HYPERLINK("https://media.infra-m.ru/1588/1588755/cover/1588755.jpg", "Обложка")</f>
        <v>Обложка</v>
      </c>
      <c r="V112" s="27" t="str">
        <f>HYPERLINK("https://znanium.com/catalog/product/1588755", "Ознакомиться")</f>
        <v>Ознакомиться</v>
      </c>
      <c r="W112" s="8" t="s">
        <v>125</v>
      </c>
      <c r="X112" s="6"/>
      <c r="Y112" s="6"/>
      <c r="Z112" s="6"/>
      <c r="AA112" s="6" t="s">
        <v>204</v>
      </c>
    </row>
    <row r="113" spans="1:27" s="4" customFormat="1" ht="51.95" customHeight="1">
      <c r="A113" s="5">
        <v>0</v>
      </c>
      <c r="B113" s="6" t="s">
        <v>810</v>
      </c>
      <c r="C113" s="13">
        <v>1640</v>
      </c>
      <c r="D113" s="8" t="s">
        <v>811</v>
      </c>
      <c r="E113" s="8" t="s">
        <v>812</v>
      </c>
      <c r="F113" s="8" t="s">
        <v>813</v>
      </c>
      <c r="G113" s="6" t="s">
        <v>37</v>
      </c>
      <c r="H113" s="6" t="s">
        <v>38</v>
      </c>
      <c r="I113" s="8" t="s">
        <v>120</v>
      </c>
      <c r="J113" s="9">
        <v>1</v>
      </c>
      <c r="K113" s="9">
        <v>364</v>
      </c>
      <c r="L113" s="9">
        <v>2023</v>
      </c>
      <c r="M113" s="8" t="s">
        <v>814</v>
      </c>
      <c r="N113" s="8" t="s">
        <v>41</v>
      </c>
      <c r="O113" s="8" t="s">
        <v>502</v>
      </c>
      <c r="P113" s="6" t="s">
        <v>122</v>
      </c>
      <c r="Q113" s="8" t="s">
        <v>123</v>
      </c>
      <c r="R113" s="10" t="s">
        <v>360</v>
      </c>
      <c r="S113" s="11"/>
      <c r="T113" s="6" t="s">
        <v>59</v>
      </c>
      <c r="U113" s="27" t="str">
        <f>HYPERLINK("https://media.infra-m.ru/2020/2020525/cover/2020525.jpg", "Обложка")</f>
        <v>Обложка</v>
      </c>
      <c r="V113" s="27" t="str">
        <f>HYPERLINK("https://znanium.com/catalog/product/2020525", "Ознакомиться")</f>
        <v>Ознакомиться</v>
      </c>
      <c r="W113" s="8" t="s">
        <v>815</v>
      </c>
      <c r="X113" s="6"/>
      <c r="Y113" s="6"/>
      <c r="Z113" s="6"/>
      <c r="AA113" s="6" t="s">
        <v>222</v>
      </c>
    </row>
    <row r="114" spans="1:27" s="4" customFormat="1" ht="51.95" customHeight="1">
      <c r="A114" s="5">
        <v>0</v>
      </c>
      <c r="B114" s="6" t="s">
        <v>816</v>
      </c>
      <c r="C114" s="13">
        <v>1034</v>
      </c>
      <c r="D114" s="8" t="s">
        <v>817</v>
      </c>
      <c r="E114" s="8" t="s">
        <v>818</v>
      </c>
      <c r="F114" s="8" t="s">
        <v>819</v>
      </c>
      <c r="G114" s="6" t="s">
        <v>119</v>
      </c>
      <c r="H114" s="6" t="s">
        <v>161</v>
      </c>
      <c r="I114" s="8" t="s">
        <v>132</v>
      </c>
      <c r="J114" s="9">
        <v>1</v>
      </c>
      <c r="K114" s="9">
        <v>224</v>
      </c>
      <c r="L114" s="9">
        <v>2023</v>
      </c>
      <c r="M114" s="8" t="s">
        <v>820</v>
      </c>
      <c r="N114" s="8" t="s">
        <v>41</v>
      </c>
      <c r="O114" s="8" t="s">
        <v>42</v>
      </c>
      <c r="P114" s="6" t="s">
        <v>43</v>
      </c>
      <c r="Q114" s="8" t="s">
        <v>286</v>
      </c>
      <c r="R114" s="10" t="s">
        <v>821</v>
      </c>
      <c r="S114" s="11" t="s">
        <v>822</v>
      </c>
      <c r="T114" s="6"/>
      <c r="U114" s="27" t="str">
        <f>HYPERLINK("https://media.infra-m.ru/2071/2071664/cover/2071664.jpg", "Обложка")</f>
        <v>Обложка</v>
      </c>
      <c r="V114" s="12"/>
      <c r="W114" s="8" t="s">
        <v>823</v>
      </c>
      <c r="X114" s="6"/>
      <c r="Y114" s="6"/>
      <c r="Z114" s="6"/>
      <c r="AA114" s="6" t="s">
        <v>150</v>
      </c>
    </row>
    <row r="115" spans="1:27" s="4" customFormat="1" ht="51.95" customHeight="1">
      <c r="A115" s="5">
        <v>0</v>
      </c>
      <c r="B115" s="6" t="s">
        <v>824</v>
      </c>
      <c r="C115" s="13">
        <v>1614</v>
      </c>
      <c r="D115" s="8" t="s">
        <v>825</v>
      </c>
      <c r="E115" s="8" t="s">
        <v>826</v>
      </c>
      <c r="F115" s="8" t="s">
        <v>827</v>
      </c>
      <c r="G115" s="6" t="s">
        <v>92</v>
      </c>
      <c r="H115" s="6" t="s">
        <v>38</v>
      </c>
      <c r="I115" s="8" t="s">
        <v>73</v>
      </c>
      <c r="J115" s="9">
        <v>1</v>
      </c>
      <c r="K115" s="9">
        <v>352</v>
      </c>
      <c r="L115" s="9">
        <v>2021</v>
      </c>
      <c r="M115" s="8" t="s">
        <v>828</v>
      </c>
      <c r="N115" s="8" t="s">
        <v>41</v>
      </c>
      <c r="O115" s="8" t="s">
        <v>42</v>
      </c>
      <c r="P115" s="6" t="s">
        <v>55</v>
      </c>
      <c r="Q115" s="8" t="s">
        <v>75</v>
      </c>
      <c r="R115" s="10" t="s">
        <v>386</v>
      </c>
      <c r="S115" s="11" t="s">
        <v>829</v>
      </c>
      <c r="T115" s="6"/>
      <c r="U115" s="27" t="str">
        <f>HYPERLINK("https://media.infra-m.ru/2101/2101548/cover/2101548.jpg", "Обложка")</f>
        <v>Обложка</v>
      </c>
      <c r="V115" s="27" t="str">
        <f>HYPERLINK("https://znanium.com/catalog/product/2098501", "Ознакомиться")</f>
        <v>Ознакомиться</v>
      </c>
      <c r="W115" s="8" t="s">
        <v>830</v>
      </c>
      <c r="X115" s="6"/>
      <c r="Y115" s="6"/>
      <c r="Z115" s="6"/>
      <c r="AA115" s="6" t="s">
        <v>299</v>
      </c>
    </row>
    <row r="116" spans="1:27" s="4" customFormat="1" ht="51.95" customHeight="1">
      <c r="A116" s="5">
        <v>0</v>
      </c>
      <c r="B116" s="6" t="s">
        <v>831</v>
      </c>
      <c r="C116" s="13">
        <v>1360</v>
      </c>
      <c r="D116" s="8" t="s">
        <v>832</v>
      </c>
      <c r="E116" s="8" t="s">
        <v>833</v>
      </c>
      <c r="F116" s="8" t="s">
        <v>834</v>
      </c>
      <c r="G116" s="6" t="s">
        <v>37</v>
      </c>
      <c r="H116" s="6" t="s">
        <v>52</v>
      </c>
      <c r="I116" s="8" t="s">
        <v>52</v>
      </c>
      <c r="J116" s="9">
        <v>1</v>
      </c>
      <c r="K116" s="9">
        <v>282</v>
      </c>
      <c r="L116" s="9">
        <v>2024</v>
      </c>
      <c r="M116" s="8" t="s">
        <v>835</v>
      </c>
      <c r="N116" s="8" t="s">
        <v>41</v>
      </c>
      <c r="O116" s="8" t="s">
        <v>42</v>
      </c>
      <c r="P116" s="6" t="s">
        <v>43</v>
      </c>
      <c r="Q116" s="8" t="s">
        <v>75</v>
      </c>
      <c r="R116" s="10" t="s">
        <v>836</v>
      </c>
      <c r="S116" s="11" t="s">
        <v>837</v>
      </c>
      <c r="T116" s="6"/>
      <c r="U116" s="27" t="str">
        <f>HYPERLINK("https://media.infra-m.ru/2079/2079503/cover/2079503.jpg", "Обложка")</f>
        <v>Обложка</v>
      </c>
      <c r="V116" s="27" t="str">
        <f>HYPERLINK("https://znanium.com/catalog/product/2079503", "Ознакомиться")</f>
        <v>Ознакомиться</v>
      </c>
      <c r="W116" s="8" t="s">
        <v>46</v>
      </c>
      <c r="X116" s="6"/>
      <c r="Y116" s="6"/>
      <c r="Z116" s="6"/>
      <c r="AA116" s="6" t="s">
        <v>838</v>
      </c>
    </row>
    <row r="117" spans="1:27" s="4" customFormat="1" ht="51.95" customHeight="1">
      <c r="A117" s="5">
        <v>0</v>
      </c>
      <c r="B117" s="6" t="s">
        <v>839</v>
      </c>
      <c r="C117" s="7">
        <v>904.9</v>
      </c>
      <c r="D117" s="8" t="s">
        <v>840</v>
      </c>
      <c r="E117" s="8" t="s">
        <v>841</v>
      </c>
      <c r="F117" s="8" t="s">
        <v>110</v>
      </c>
      <c r="G117" s="6" t="s">
        <v>92</v>
      </c>
      <c r="H117" s="6" t="s">
        <v>38</v>
      </c>
      <c r="I117" s="8" t="s">
        <v>73</v>
      </c>
      <c r="J117" s="9">
        <v>1</v>
      </c>
      <c r="K117" s="9">
        <v>201</v>
      </c>
      <c r="L117" s="9">
        <v>2023</v>
      </c>
      <c r="M117" s="8" t="s">
        <v>842</v>
      </c>
      <c r="N117" s="8" t="s">
        <v>41</v>
      </c>
      <c r="O117" s="8" t="s">
        <v>42</v>
      </c>
      <c r="P117" s="6" t="s">
        <v>43</v>
      </c>
      <c r="Q117" s="8" t="s">
        <v>44</v>
      </c>
      <c r="R117" s="10" t="s">
        <v>843</v>
      </c>
      <c r="S117" s="11" t="s">
        <v>844</v>
      </c>
      <c r="T117" s="6"/>
      <c r="U117" s="27" t="str">
        <f>HYPERLINK("https://media.infra-m.ru/2030/2030886/cover/2030886.jpg", "Обложка")</f>
        <v>Обложка</v>
      </c>
      <c r="V117" s="27" t="str">
        <f>HYPERLINK("https://znanium.com/catalog/product/1003199", "Ознакомиться")</f>
        <v>Ознакомиться</v>
      </c>
      <c r="W117" s="8" t="s">
        <v>105</v>
      </c>
      <c r="X117" s="6"/>
      <c r="Y117" s="6"/>
      <c r="Z117" s="6"/>
      <c r="AA117" s="6" t="s">
        <v>382</v>
      </c>
    </row>
    <row r="118" spans="1:27" s="4" customFormat="1" ht="42" customHeight="1">
      <c r="A118" s="5">
        <v>0</v>
      </c>
      <c r="B118" s="6" t="s">
        <v>845</v>
      </c>
      <c r="C118" s="7">
        <v>970</v>
      </c>
      <c r="D118" s="8" t="s">
        <v>846</v>
      </c>
      <c r="E118" s="8" t="s">
        <v>847</v>
      </c>
      <c r="F118" s="8" t="s">
        <v>848</v>
      </c>
      <c r="G118" s="6" t="s">
        <v>37</v>
      </c>
      <c r="H118" s="6" t="s">
        <v>38</v>
      </c>
      <c r="I118" s="8" t="s">
        <v>73</v>
      </c>
      <c r="J118" s="9">
        <v>1</v>
      </c>
      <c r="K118" s="9">
        <v>214</v>
      </c>
      <c r="L118" s="9">
        <v>2022</v>
      </c>
      <c r="M118" s="8" t="s">
        <v>849</v>
      </c>
      <c r="N118" s="8" t="s">
        <v>41</v>
      </c>
      <c r="O118" s="8" t="s">
        <v>42</v>
      </c>
      <c r="P118" s="6" t="s">
        <v>55</v>
      </c>
      <c r="Q118" s="8" t="s">
        <v>75</v>
      </c>
      <c r="R118" s="10" t="s">
        <v>634</v>
      </c>
      <c r="S118" s="11"/>
      <c r="T118" s="6"/>
      <c r="U118" s="27" t="str">
        <f>HYPERLINK("https://media.infra-m.ru/1913/1913350/cover/1913350.jpg", "Обложка")</f>
        <v>Обложка</v>
      </c>
      <c r="V118" s="27" t="str">
        <f>HYPERLINK("https://znanium.com/catalog/product/1841438", "Ознакомиться")</f>
        <v>Ознакомиться</v>
      </c>
      <c r="W118" s="8"/>
      <c r="X118" s="6"/>
      <c r="Y118" s="6"/>
      <c r="Z118" s="6"/>
      <c r="AA118" s="6" t="s">
        <v>47</v>
      </c>
    </row>
    <row r="119" spans="1:27" s="4" customFormat="1" ht="51.95" customHeight="1">
      <c r="A119" s="5">
        <v>0</v>
      </c>
      <c r="B119" s="6" t="s">
        <v>850</v>
      </c>
      <c r="C119" s="7">
        <v>974</v>
      </c>
      <c r="D119" s="8" t="s">
        <v>851</v>
      </c>
      <c r="E119" s="8" t="s">
        <v>847</v>
      </c>
      <c r="F119" s="8" t="s">
        <v>848</v>
      </c>
      <c r="G119" s="6" t="s">
        <v>37</v>
      </c>
      <c r="H119" s="6" t="s">
        <v>38</v>
      </c>
      <c r="I119" s="8" t="s">
        <v>53</v>
      </c>
      <c r="J119" s="9">
        <v>1</v>
      </c>
      <c r="K119" s="9">
        <v>214</v>
      </c>
      <c r="L119" s="9">
        <v>2023</v>
      </c>
      <c r="M119" s="8" t="s">
        <v>852</v>
      </c>
      <c r="N119" s="8" t="s">
        <v>41</v>
      </c>
      <c r="O119" s="8" t="s">
        <v>42</v>
      </c>
      <c r="P119" s="6" t="s">
        <v>55</v>
      </c>
      <c r="Q119" s="8" t="s">
        <v>56</v>
      </c>
      <c r="R119" s="10" t="s">
        <v>163</v>
      </c>
      <c r="S119" s="11" t="s">
        <v>366</v>
      </c>
      <c r="T119" s="6"/>
      <c r="U119" s="27" t="str">
        <f>HYPERLINK("https://media.infra-m.ru/2029/2029910/cover/2029910.jpg", "Обложка")</f>
        <v>Обложка</v>
      </c>
      <c r="V119" s="27" t="str">
        <f>HYPERLINK("https://znanium.com/catalog/product/1876281", "Ознакомиться")</f>
        <v>Ознакомиться</v>
      </c>
      <c r="W119" s="8"/>
      <c r="X119" s="6"/>
      <c r="Y119" s="6"/>
      <c r="Z119" s="6" t="s">
        <v>60</v>
      </c>
      <c r="AA119" s="6" t="s">
        <v>61</v>
      </c>
    </row>
    <row r="120" spans="1:27" s="4" customFormat="1" ht="51.95" customHeight="1">
      <c r="A120" s="5">
        <v>0</v>
      </c>
      <c r="B120" s="6" t="s">
        <v>853</v>
      </c>
      <c r="C120" s="13">
        <v>1424.9</v>
      </c>
      <c r="D120" s="8" t="s">
        <v>854</v>
      </c>
      <c r="E120" s="8" t="s">
        <v>847</v>
      </c>
      <c r="F120" s="8" t="s">
        <v>855</v>
      </c>
      <c r="G120" s="6" t="s">
        <v>92</v>
      </c>
      <c r="H120" s="6" t="s">
        <v>38</v>
      </c>
      <c r="I120" s="8" t="s">
        <v>73</v>
      </c>
      <c r="J120" s="9">
        <v>1</v>
      </c>
      <c r="K120" s="9">
        <v>316</v>
      </c>
      <c r="L120" s="9">
        <v>2023</v>
      </c>
      <c r="M120" s="8" t="s">
        <v>856</v>
      </c>
      <c r="N120" s="8" t="s">
        <v>41</v>
      </c>
      <c r="O120" s="8" t="s">
        <v>42</v>
      </c>
      <c r="P120" s="6" t="s">
        <v>43</v>
      </c>
      <c r="Q120" s="8" t="s">
        <v>75</v>
      </c>
      <c r="R120" s="10" t="s">
        <v>634</v>
      </c>
      <c r="S120" s="11" t="s">
        <v>857</v>
      </c>
      <c r="T120" s="6"/>
      <c r="U120" s="27" t="str">
        <f>HYPERLINK("https://media.infra-m.ru/1931/1931493/cover/1931493.jpg", "Обложка")</f>
        <v>Обложка</v>
      </c>
      <c r="V120" s="27" t="str">
        <f>HYPERLINK("https://znanium.com/catalog/product/1838405", "Ознакомиться")</f>
        <v>Ознакомиться</v>
      </c>
      <c r="W120" s="8" t="s">
        <v>665</v>
      </c>
      <c r="X120" s="6"/>
      <c r="Y120" s="6"/>
      <c r="Z120" s="6"/>
      <c r="AA120" s="6" t="s">
        <v>451</v>
      </c>
    </row>
    <row r="121" spans="1:27" s="4" customFormat="1" ht="42" customHeight="1">
      <c r="A121" s="5">
        <v>0</v>
      </c>
      <c r="B121" s="6" t="s">
        <v>858</v>
      </c>
      <c r="C121" s="13">
        <v>1770</v>
      </c>
      <c r="D121" s="8" t="s">
        <v>859</v>
      </c>
      <c r="E121" s="8" t="s">
        <v>860</v>
      </c>
      <c r="F121" s="8" t="s">
        <v>861</v>
      </c>
      <c r="G121" s="6" t="s">
        <v>37</v>
      </c>
      <c r="H121" s="6" t="s">
        <v>38</v>
      </c>
      <c r="I121" s="8" t="s">
        <v>39</v>
      </c>
      <c r="J121" s="9">
        <v>1</v>
      </c>
      <c r="K121" s="9">
        <v>392</v>
      </c>
      <c r="L121" s="9">
        <v>2023</v>
      </c>
      <c r="M121" s="8" t="s">
        <v>862</v>
      </c>
      <c r="N121" s="8" t="s">
        <v>41</v>
      </c>
      <c r="O121" s="8" t="s">
        <v>42</v>
      </c>
      <c r="P121" s="6" t="s">
        <v>43</v>
      </c>
      <c r="Q121" s="8" t="s">
        <v>44</v>
      </c>
      <c r="R121" s="10" t="s">
        <v>863</v>
      </c>
      <c r="S121" s="11"/>
      <c r="T121" s="6"/>
      <c r="U121" s="27" t="str">
        <f>HYPERLINK("https://media.infra-m.ru/1896/1896093/cover/1896093.jpg", "Обложка")</f>
        <v>Обложка</v>
      </c>
      <c r="V121" s="27" t="str">
        <f>HYPERLINK("https://znanium.com/catalog/product/1896093", "Ознакомиться")</f>
        <v>Ознакомиться</v>
      </c>
      <c r="W121" s="8"/>
      <c r="X121" s="6"/>
      <c r="Y121" s="6"/>
      <c r="Z121" s="6"/>
      <c r="AA121" s="6" t="s">
        <v>864</v>
      </c>
    </row>
    <row r="122" spans="1:27" s="4" customFormat="1" ht="42" customHeight="1">
      <c r="A122" s="5">
        <v>0</v>
      </c>
      <c r="B122" s="6" t="s">
        <v>865</v>
      </c>
      <c r="C122" s="7">
        <v>994</v>
      </c>
      <c r="D122" s="8" t="s">
        <v>866</v>
      </c>
      <c r="E122" s="8" t="s">
        <v>867</v>
      </c>
      <c r="F122" s="8" t="s">
        <v>868</v>
      </c>
      <c r="G122" s="6" t="s">
        <v>92</v>
      </c>
      <c r="H122" s="6" t="s">
        <v>52</v>
      </c>
      <c r="I122" s="8"/>
      <c r="J122" s="9">
        <v>1</v>
      </c>
      <c r="K122" s="9">
        <v>216</v>
      </c>
      <c r="L122" s="9">
        <v>2024</v>
      </c>
      <c r="M122" s="8" t="s">
        <v>869</v>
      </c>
      <c r="N122" s="8" t="s">
        <v>41</v>
      </c>
      <c r="O122" s="8" t="s">
        <v>42</v>
      </c>
      <c r="P122" s="6" t="s">
        <v>457</v>
      </c>
      <c r="Q122" s="8" t="s">
        <v>75</v>
      </c>
      <c r="R122" s="10" t="s">
        <v>557</v>
      </c>
      <c r="S122" s="11"/>
      <c r="T122" s="6"/>
      <c r="U122" s="27" t="str">
        <f>HYPERLINK("https://media.infra-m.ru/2095/2095039/cover/2095039.jpg", "Обложка")</f>
        <v>Обложка</v>
      </c>
      <c r="V122" s="27" t="str">
        <f>HYPERLINK("https://znanium.com/catalog/product/1010033", "Ознакомиться")</f>
        <v>Ознакомиться</v>
      </c>
      <c r="W122" s="8" t="s">
        <v>870</v>
      </c>
      <c r="X122" s="6"/>
      <c r="Y122" s="6"/>
      <c r="Z122" s="6"/>
      <c r="AA122" s="6" t="s">
        <v>346</v>
      </c>
    </row>
    <row r="123" spans="1:27" s="4" customFormat="1" ht="51.95" customHeight="1">
      <c r="A123" s="5">
        <v>0</v>
      </c>
      <c r="B123" s="6" t="s">
        <v>871</v>
      </c>
      <c r="C123" s="13">
        <v>1060</v>
      </c>
      <c r="D123" s="8" t="s">
        <v>872</v>
      </c>
      <c r="E123" s="8" t="s">
        <v>873</v>
      </c>
      <c r="F123" s="8" t="s">
        <v>874</v>
      </c>
      <c r="G123" s="6" t="s">
        <v>37</v>
      </c>
      <c r="H123" s="6" t="s">
        <v>38</v>
      </c>
      <c r="I123" s="8" t="s">
        <v>73</v>
      </c>
      <c r="J123" s="9">
        <v>1</v>
      </c>
      <c r="K123" s="9">
        <v>236</v>
      </c>
      <c r="L123" s="9">
        <v>2022</v>
      </c>
      <c r="M123" s="8" t="s">
        <v>875</v>
      </c>
      <c r="N123" s="8" t="s">
        <v>41</v>
      </c>
      <c r="O123" s="8" t="s">
        <v>42</v>
      </c>
      <c r="P123" s="6" t="s">
        <v>43</v>
      </c>
      <c r="Q123" s="8" t="s">
        <v>75</v>
      </c>
      <c r="R123" s="10" t="s">
        <v>876</v>
      </c>
      <c r="S123" s="11" t="s">
        <v>877</v>
      </c>
      <c r="T123" s="6"/>
      <c r="U123" s="27" t="str">
        <f>HYPERLINK("https://media.infra-m.ru/1855/1855502/cover/1855502.jpg", "Обложка")</f>
        <v>Обложка</v>
      </c>
      <c r="V123" s="27" t="str">
        <f>HYPERLINK("https://znanium.com/catalog/product/1855502", "Ознакомиться")</f>
        <v>Ознакомиться</v>
      </c>
      <c r="W123" s="8" t="s">
        <v>419</v>
      </c>
      <c r="X123" s="6"/>
      <c r="Y123" s="6"/>
      <c r="Z123" s="6"/>
      <c r="AA123" s="6" t="s">
        <v>126</v>
      </c>
    </row>
    <row r="124" spans="1:27" s="4" customFormat="1" ht="51.95" customHeight="1">
      <c r="A124" s="5">
        <v>0</v>
      </c>
      <c r="B124" s="6" t="s">
        <v>878</v>
      </c>
      <c r="C124" s="7">
        <v>900</v>
      </c>
      <c r="D124" s="8" t="s">
        <v>879</v>
      </c>
      <c r="E124" s="8" t="s">
        <v>873</v>
      </c>
      <c r="F124" s="8" t="s">
        <v>874</v>
      </c>
      <c r="G124" s="6" t="s">
        <v>37</v>
      </c>
      <c r="H124" s="6" t="s">
        <v>38</v>
      </c>
      <c r="I124" s="8" t="s">
        <v>53</v>
      </c>
      <c r="J124" s="9">
        <v>1</v>
      </c>
      <c r="K124" s="9">
        <v>236</v>
      </c>
      <c r="L124" s="9">
        <v>2022</v>
      </c>
      <c r="M124" s="8" t="s">
        <v>880</v>
      </c>
      <c r="N124" s="8" t="s">
        <v>41</v>
      </c>
      <c r="O124" s="8" t="s">
        <v>42</v>
      </c>
      <c r="P124" s="6" t="s">
        <v>43</v>
      </c>
      <c r="Q124" s="8" t="s">
        <v>56</v>
      </c>
      <c r="R124" s="10" t="s">
        <v>881</v>
      </c>
      <c r="S124" s="11" t="s">
        <v>882</v>
      </c>
      <c r="T124" s="6"/>
      <c r="U124" s="27" t="str">
        <f>HYPERLINK("https://media.infra-m.ru/1855/1855778/cover/1855778.jpg", "Обложка")</f>
        <v>Обложка</v>
      </c>
      <c r="V124" s="27" t="str">
        <f>HYPERLINK("https://znanium.com/catalog/product/1855778", "Ознакомиться")</f>
        <v>Ознакомиться</v>
      </c>
      <c r="W124" s="8" t="s">
        <v>419</v>
      </c>
      <c r="X124" s="6"/>
      <c r="Y124" s="6"/>
      <c r="Z124" s="6" t="s">
        <v>60</v>
      </c>
      <c r="AA124" s="6" t="s">
        <v>382</v>
      </c>
    </row>
    <row r="125" spans="1:27" s="4" customFormat="1" ht="51.95" customHeight="1">
      <c r="A125" s="5">
        <v>0</v>
      </c>
      <c r="B125" s="6" t="s">
        <v>883</v>
      </c>
      <c r="C125" s="7">
        <v>634</v>
      </c>
      <c r="D125" s="8" t="s">
        <v>884</v>
      </c>
      <c r="E125" s="8" t="s">
        <v>885</v>
      </c>
      <c r="F125" s="8" t="s">
        <v>886</v>
      </c>
      <c r="G125" s="6" t="s">
        <v>92</v>
      </c>
      <c r="H125" s="6" t="s">
        <v>209</v>
      </c>
      <c r="I125" s="8" t="s">
        <v>73</v>
      </c>
      <c r="J125" s="9">
        <v>1</v>
      </c>
      <c r="K125" s="9">
        <v>133</v>
      </c>
      <c r="L125" s="9">
        <v>2024</v>
      </c>
      <c r="M125" s="8" t="s">
        <v>887</v>
      </c>
      <c r="N125" s="8" t="s">
        <v>41</v>
      </c>
      <c r="O125" s="8" t="s">
        <v>42</v>
      </c>
      <c r="P125" s="6" t="s">
        <v>43</v>
      </c>
      <c r="Q125" s="8" t="s">
        <v>75</v>
      </c>
      <c r="R125" s="10" t="s">
        <v>888</v>
      </c>
      <c r="S125" s="11"/>
      <c r="T125" s="6"/>
      <c r="U125" s="27" t="str">
        <f>HYPERLINK("https://media.infra-m.ru/2096/2096796/cover/2096796.jpg", "Обложка")</f>
        <v>Обложка</v>
      </c>
      <c r="V125" s="27" t="str">
        <f>HYPERLINK("https://znanium.com/catalog/product/1012418", "Ознакомиться")</f>
        <v>Ознакомиться</v>
      </c>
      <c r="W125" s="8" t="s">
        <v>496</v>
      </c>
      <c r="X125" s="6"/>
      <c r="Y125" s="6"/>
      <c r="Z125" s="6"/>
      <c r="AA125" s="6" t="s">
        <v>114</v>
      </c>
    </row>
    <row r="126" spans="1:27" s="4" customFormat="1" ht="42" customHeight="1">
      <c r="A126" s="5">
        <v>0</v>
      </c>
      <c r="B126" s="6" t="s">
        <v>889</v>
      </c>
      <c r="C126" s="13">
        <v>1694</v>
      </c>
      <c r="D126" s="8" t="s">
        <v>890</v>
      </c>
      <c r="E126" s="8" t="s">
        <v>891</v>
      </c>
      <c r="F126" s="8" t="s">
        <v>51</v>
      </c>
      <c r="G126" s="6" t="s">
        <v>92</v>
      </c>
      <c r="H126" s="6" t="s">
        <v>52</v>
      </c>
      <c r="I126" s="8"/>
      <c r="J126" s="9">
        <v>1</v>
      </c>
      <c r="K126" s="9">
        <v>368</v>
      </c>
      <c r="L126" s="9">
        <v>2024</v>
      </c>
      <c r="M126" s="8" t="s">
        <v>892</v>
      </c>
      <c r="N126" s="8" t="s">
        <v>41</v>
      </c>
      <c r="O126" s="8" t="s">
        <v>42</v>
      </c>
      <c r="P126" s="6" t="s">
        <v>55</v>
      </c>
      <c r="Q126" s="8" t="s">
        <v>44</v>
      </c>
      <c r="R126" s="10" t="s">
        <v>489</v>
      </c>
      <c r="S126" s="11"/>
      <c r="T126" s="6" t="s">
        <v>59</v>
      </c>
      <c r="U126" s="27" t="str">
        <f>HYPERLINK("https://media.infra-m.ru/2084/2084405/cover/2084405.jpg", "Обложка")</f>
        <v>Обложка</v>
      </c>
      <c r="V126" s="27" t="str">
        <f>HYPERLINK("https://znanium.com/catalog/product/937984", "Ознакомиться")</f>
        <v>Ознакомиться</v>
      </c>
      <c r="W126" s="8" t="s">
        <v>46</v>
      </c>
      <c r="X126" s="6"/>
      <c r="Y126" s="6"/>
      <c r="Z126" s="6"/>
      <c r="AA126" s="6" t="s">
        <v>346</v>
      </c>
    </row>
    <row r="127" spans="1:27" s="4" customFormat="1" ht="51.95" customHeight="1">
      <c r="A127" s="5">
        <v>0</v>
      </c>
      <c r="B127" s="6" t="s">
        <v>893</v>
      </c>
      <c r="C127" s="13">
        <v>1234</v>
      </c>
      <c r="D127" s="8" t="s">
        <v>894</v>
      </c>
      <c r="E127" s="8" t="s">
        <v>895</v>
      </c>
      <c r="F127" s="8" t="s">
        <v>896</v>
      </c>
      <c r="G127" s="6" t="s">
        <v>119</v>
      </c>
      <c r="H127" s="6" t="s">
        <v>52</v>
      </c>
      <c r="I127" s="8" t="s">
        <v>897</v>
      </c>
      <c r="J127" s="9">
        <v>1</v>
      </c>
      <c r="K127" s="9">
        <v>267</v>
      </c>
      <c r="L127" s="9">
        <v>2024</v>
      </c>
      <c r="M127" s="8" t="s">
        <v>898</v>
      </c>
      <c r="N127" s="8" t="s">
        <v>41</v>
      </c>
      <c r="O127" s="8" t="s">
        <v>42</v>
      </c>
      <c r="P127" s="6" t="s">
        <v>122</v>
      </c>
      <c r="Q127" s="8" t="s">
        <v>123</v>
      </c>
      <c r="R127" s="10" t="s">
        <v>899</v>
      </c>
      <c r="S127" s="11"/>
      <c r="T127" s="6"/>
      <c r="U127" s="27" t="str">
        <f>HYPERLINK("https://media.infra-m.ru/2082/2082731/cover/2082731.jpg", "Обложка")</f>
        <v>Обложка</v>
      </c>
      <c r="V127" s="27" t="str">
        <f>HYPERLINK("https://znanium.com/catalog/product/1851533", "Ознакомиться")</f>
        <v>Ознакомиться</v>
      </c>
      <c r="W127" s="8" t="s">
        <v>46</v>
      </c>
      <c r="X127" s="6"/>
      <c r="Y127" s="6"/>
      <c r="Z127" s="6"/>
      <c r="AA127" s="6" t="s">
        <v>213</v>
      </c>
    </row>
    <row r="128" spans="1:27" s="4" customFormat="1" ht="42" customHeight="1">
      <c r="A128" s="5">
        <v>0</v>
      </c>
      <c r="B128" s="6" t="s">
        <v>900</v>
      </c>
      <c r="C128" s="13">
        <v>1220</v>
      </c>
      <c r="D128" s="8" t="s">
        <v>901</v>
      </c>
      <c r="E128" s="8" t="s">
        <v>902</v>
      </c>
      <c r="F128" s="8" t="s">
        <v>903</v>
      </c>
      <c r="G128" s="6" t="s">
        <v>119</v>
      </c>
      <c r="H128" s="6" t="s">
        <v>93</v>
      </c>
      <c r="I128" s="8"/>
      <c r="J128" s="9">
        <v>1</v>
      </c>
      <c r="K128" s="9">
        <v>264</v>
      </c>
      <c r="L128" s="9">
        <v>2024</v>
      </c>
      <c r="M128" s="8" t="s">
        <v>904</v>
      </c>
      <c r="N128" s="8" t="s">
        <v>41</v>
      </c>
      <c r="O128" s="8" t="s">
        <v>42</v>
      </c>
      <c r="P128" s="6" t="s">
        <v>122</v>
      </c>
      <c r="Q128" s="8" t="s">
        <v>123</v>
      </c>
      <c r="R128" s="10" t="s">
        <v>905</v>
      </c>
      <c r="S128" s="11"/>
      <c r="T128" s="6"/>
      <c r="U128" s="27" t="str">
        <f>HYPERLINK("https://media.infra-m.ru/2081/2081679/cover/2081679.jpg", "Обложка")</f>
        <v>Обложка</v>
      </c>
      <c r="V128" s="27" t="str">
        <f>HYPERLINK("https://znanium.com/catalog/product/2081679", "Ознакомиться")</f>
        <v>Ознакомиться</v>
      </c>
      <c r="W128" s="8" t="s">
        <v>149</v>
      </c>
      <c r="X128" s="6"/>
      <c r="Y128" s="6"/>
      <c r="Z128" s="6"/>
      <c r="AA128" s="6" t="s">
        <v>61</v>
      </c>
    </row>
    <row r="129" spans="1:27" s="4" customFormat="1" ht="51.95" customHeight="1">
      <c r="A129" s="5">
        <v>0</v>
      </c>
      <c r="B129" s="6" t="s">
        <v>906</v>
      </c>
      <c r="C129" s="7">
        <v>824.9</v>
      </c>
      <c r="D129" s="8" t="s">
        <v>907</v>
      </c>
      <c r="E129" s="8" t="s">
        <v>908</v>
      </c>
      <c r="F129" s="8" t="s">
        <v>909</v>
      </c>
      <c r="G129" s="6" t="s">
        <v>92</v>
      </c>
      <c r="H129" s="6" t="s">
        <v>52</v>
      </c>
      <c r="I129" s="8"/>
      <c r="J129" s="9">
        <v>1</v>
      </c>
      <c r="K129" s="9">
        <v>184</v>
      </c>
      <c r="L129" s="9">
        <v>2023</v>
      </c>
      <c r="M129" s="8" t="s">
        <v>910</v>
      </c>
      <c r="N129" s="8" t="s">
        <v>41</v>
      </c>
      <c r="O129" s="8" t="s">
        <v>42</v>
      </c>
      <c r="P129" s="6" t="s">
        <v>43</v>
      </c>
      <c r="Q129" s="8" t="s">
        <v>75</v>
      </c>
      <c r="R129" s="10" t="s">
        <v>911</v>
      </c>
      <c r="S129" s="11" t="s">
        <v>912</v>
      </c>
      <c r="T129" s="6"/>
      <c r="U129" s="27" t="str">
        <f>HYPERLINK("https://media.infra-m.ru/2044/2044352/cover/2044352.jpg", "Обложка")</f>
        <v>Обложка</v>
      </c>
      <c r="V129" s="27" t="str">
        <f>HYPERLINK("https://znanium.com/catalog/product/960068", "Ознакомиться")</f>
        <v>Ознакомиться</v>
      </c>
      <c r="W129" s="8" t="s">
        <v>46</v>
      </c>
      <c r="X129" s="6"/>
      <c r="Y129" s="6"/>
      <c r="Z129" s="6"/>
      <c r="AA129" s="6" t="s">
        <v>114</v>
      </c>
    </row>
    <row r="130" spans="1:27" s="4" customFormat="1" ht="51.95" customHeight="1">
      <c r="A130" s="5">
        <v>0</v>
      </c>
      <c r="B130" s="6" t="s">
        <v>913</v>
      </c>
      <c r="C130" s="7">
        <v>644.9</v>
      </c>
      <c r="D130" s="8" t="s">
        <v>914</v>
      </c>
      <c r="E130" s="8" t="s">
        <v>915</v>
      </c>
      <c r="F130" s="8" t="s">
        <v>916</v>
      </c>
      <c r="G130" s="6" t="s">
        <v>119</v>
      </c>
      <c r="H130" s="6" t="s">
        <v>38</v>
      </c>
      <c r="I130" s="8" t="s">
        <v>120</v>
      </c>
      <c r="J130" s="9">
        <v>1</v>
      </c>
      <c r="K130" s="9">
        <v>166</v>
      </c>
      <c r="L130" s="9">
        <v>2022</v>
      </c>
      <c r="M130" s="8" t="s">
        <v>917</v>
      </c>
      <c r="N130" s="8" t="s">
        <v>41</v>
      </c>
      <c r="O130" s="8" t="s">
        <v>42</v>
      </c>
      <c r="P130" s="6" t="s">
        <v>122</v>
      </c>
      <c r="Q130" s="8" t="s">
        <v>123</v>
      </c>
      <c r="R130" s="10" t="s">
        <v>918</v>
      </c>
      <c r="S130" s="11"/>
      <c r="T130" s="6"/>
      <c r="U130" s="27" t="str">
        <f>HYPERLINK("https://media.infra-m.ru/1843/1843623/cover/1843623.jpg", "Обложка")</f>
        <v>Обложка</v>
      </c>
      <c r="V130" s="27" t="str">
        <f>HYPERLINK("https://znanium.com/catalog/product/1843623", "Ознакомиться")</f>
        <v>Ознакомиться</v>
      </c>
      <c r="W130" s="8" t="s">
        <v>919</v>
      </c>
      <c r="X130" s="6"/>
      <c r="Y130" s="6"/>
      <c r="Z130" s="6"/>
      <c r="AA130" s="6" t="s">
        <v>150</v>
      </c>
    </row>
    <row r="131" spans="1:27" s="4" customFormat="1" ht="51.95" customHeight="1">
      <c r="A131" s="5">
        <v>0</v>
      </c>
      <c r="B131" s="6" t="s">
        <v>920</v>
      </c>
      <c r="C131" s="7">
        <v>934.9</v>
      </c>
      <c r="D131" s="8" t="s">
        <v>921</v>
      </c>
      <c r="E131" s="8" t="s">
        <v>922</v>
      </c>
      <c r="F131" s="8" t="s">
        <v>923</v>
      </c>
      <c r="G131" s="6" t="s">
        <v>92</v>
      </c>
      <c r="H131" s="6" t="s">
        <v>38</v>
      </c>
      <c r="I131" s="8" t="s">
        <v>73</v>
      </c>
      <c r="J131" s="9">
        <v>1</v>
      </c>
      <c r="K131" s="9">
        <v>207</v>
      </c>
      <c r="L131" s="9">
        <v>2023</v>
      </c>
      <c r="M131" s="8" t="s">
        <v>924</v>
      </c>
      <c r="N131" s="8" t="s">
        <v>41</v>
      </c>
      <c r="O131" s="8" t="s">
        <v>42</v>
      </c>
      <c r="P131" s="6" t="s">
        <v>43</v>
      </c>
      <c r="Q131" s="8" t="s">
        <v>75</v>
      </c>
      <c r="R131" s="10" t="s">
        <v>925</v>
      </c>
      <c r="S131" s="11" t="s">
        <v>926</v>
      </c>
      <c r="T131" s="6"/>
      <c r="U131" s="27" t="str">
        <f>HYPERLINK("https://media.infra-m.ru/2044/2044351/cover/2044351.jpg", "Обложка")</f>
        <v>Обложка</v>
      </c>
      <c r="V131" s="27" t="str">
        <f>HYPERLINK("https://znanium.com/catalog/product/1010090", "Ознакомиться")</f>
        <v>Ознакомиться</v>
      </c>
      <c r="W131" s="8" t="s">
        <v>919</v>
      </c>
      <c r="X131" s="6"/>
      <c r="Y131" s="6"/>
      <c r="Z131" s="6"/>
      <c r="AA131" s="6" t="s">
        <v>150</v>
      </c>
    </row>
    <row r="132" spans="1:27" s="4" customFormat="1" ht="51.95" customHeight="1">
      <c r="A132" s="5">
        <v>0</v>
      </c>
      <c r="B132" s="6" t="s">
        <v>927</v>
      </c>
      <c r="C132" s="7">
        <v>547.20000000000005</v>
      </c>
      <c r="D132" s="8" t="s">
        <v>928</v>
      </c>
      <c r="E132" s="8" t="s">
        <v>929</v>
      </c>
      <c r="F132" s="8" t="s">
        <v>930</v>
      </c>
      <c r="G132" s="6" t="s">
        <v>119</v>
      </c>
      <c r="H132" s="6" t="s">
        <v>161</v>
      </c>
      <c r="I132" s="8" t="s">
        <v>257</v>
      </c>
      <c r="J132" s="9">
        <v>1</v>
      </c>
      <c r="K132" s="9">
        <v>144</v>
      </c>
      <c r="L132" s="9">
        <v>2024</v>
      </c>
      <c r="M132" s="8" t="s">
        <v>931</v>
      </c>
      <c r="N132" s="8" t="s">
        <v>41</v>
      </c>
      <c r="O132" s="8" t="s">
        <v>42</v>
      </c>
      <c r="P132" s="6" t="s">
        <v>43</v>
      </c>
      <c r="Q132" s="8" t="s">
        <v>56</v>
      </c>
      <c r="R132" s="10" t="s">
        <v>932</v>
      </c>
      <c r="S132" s="11" t="s">
        <v>337</v>
      </c>
      <c r="T132" s="6"/>
      <c r="U132" s="27" t="str">
        <f>HYPERLINK("https://media.infra-m.ru/1853/1853642/cover/1853642.jpg", "Обложка")</f>
        <v>Обложка</v>
      </c>
      <c r="V132" s="27" t="str">
        <f>HYPERLINK("https://znanium.com/catalog/product/1853642", "Ознакомиться")</f>
        <v>Ознакомиться</v>
      </c>
      <c r="W132" s="8" t="s">
        <v>338</v>
      </c>
      <c r="X132" s="6"/>
      <c r="Y132" s="6"/>
      <c r="Z132" s="6"/>
      <c r="AA132" s="6" t="s">
        <v>933</v>
      </c>
    </row>
    <row r="133" spans="1:27" s="4" customFormat="1" ht="42" customHeight="1">
      <c r="A133" s="5">
        <v>0</v>
      </c>
      <c r="B133" s="6" t="s">
        <v>934</v>
      </c>
      <c r="C133" s="7">
        <v>730</v>
      </c>
      <c r="D133" s="8" t="s">
        <v>935</v>
      </c>
      <c r="E133" s="8" t="s">
        <v>936</v>
      </c>
      <c r="F133" s="8" t="s">
        <v>937</v>
      </c>
      <c r="G133" s="6" t="s">
        <v>37</v>
      </c>
      <c r="H133" s="6" t="s">
        <v>52</v>
      </c>
      <c r="I133" s="8" t="s">
        <v>132</v>
      </c>
      <c r="J133" s="9">
        <v>1</v>
      </c>
      <c r="K133" s="9">
        <v>159</v>
      </c>
      <c r="L133" s="9">
        <v>2024</v>
      </c>
      <c r="M133" s="8" t="s">
        <v>938</v>
      </c>
      <c r="N133" s="8" t="s">
        <v>41</v>
      </c>
      <c r="O133" s="8" t="s">
        <v>42</v>
      </c>
      <c r="P133" s="6" t="s">
        <v>43</v>
      </c>
      <c r="Q133" s="8" t="s">
        <v>286</v>
      </c>
      <c r="R133" s="10" t="s">
        <v>939</v>
      </c>
      <c r="S133" s="11"/>
      <c r="T133" s="6"/>
      <c r="U133" s="27" t="str">
        <f>HYPERLINK("https://media.infra-m.ru/2078/2078370/cover/2078370.jpg", "Обложка")</f>
        <v>Обложка</v>
      </c>
      <c r="V133" s="27" t="str">
        <f>HYPERLINK("https://znanium.com/catalog/product/2078370", "Ознакомиться")</f>
        <v>Ознакомиться</v>
      </c>
      <c r="W133" s="8" t="s">
        <v>125</v>
      </c>
      <c r="X133" s="6"/>
      <c r="Y133" s="6"/>
      <c r="Z133" s="6"/>
      <c r="AA133" s="6" t="s">
        <v>451</v>
      </c>
    </row>
    <row r="134" spans="1:27" s="4" customFormat="1" ht="51.95" customHeight="1">
      <c r="A134" s="5">
        <v>0</v>
      </c>
      <c r="B134" s="6" t="s">
        <v>940</v>
      </c>
      <c r="C134" s="7">
        <v>720</v>
      </c>
      <c r="D134" s="8" t="s">
        <v>941</v>
      </c>
      <c r="E134" s="8" t="s">
        <v>936</v>
      </c>
      <c r="F134" s="8" t="s">
        <v>942</v>
      </c>
      <c r="G134" s="6" t="s">
        <v>37</v>
      </c>
      <c r="H134" s="6" t="s">
        <v>52</v>
      </c>
      <c r="I134" s="8" t="s">
        <v>53</v>
      </c>
      <c r="J134" s="9">
        <v>1</v>
      </c>
      <c r="K134" s="9">
        <v>159</v>
      </c>
      <c r="L134" s="9">
        <v>2023</v>
      </c>
      <c r="M134" s="8" t="s">
        <v>943</v>
      </c>
      <c r="N134" s="8" t="s">
        <v>41</v>
      </c>
      <c r="O134" s="8" t="s">
        <v>42</v>
      </c>
      <c r="P134" s="6" t="s">
        <v>43</v>
      </c>
      <c r="Q134" s="8" t="s">
        <v>56</v>
      </c>
      <c r="R134" s="10" t="s">
        <v>753</v>
      </c>
      <c r="S134" s="11" t="s">
        <v>944</v>
      </c>
      <c r="T134" s="6"/>
      <c r="U134" s="27" t="str">
        <f>HYPERLINK("https://media.infra-m.ru/2019/2019744/cover/2019744.jpg", "Обложка")</f>
        <v>Обложка</v>
      </c>
      <c r="V134" s="27" t="str">
        <f>HYPERLINK("https://znanium.com/catalog/product/2019744", "Ознакомиться")</f>
        <v>Ознакомиться</v>
      </c>
      <c r="W134" s="8" t="s">
        <v>125</v>
      </c>
      <c r="X134" s="6"/>
      <c r="Y134" s="6"/>
      <c r="Z134" s="6" t="s">
        <v>945</v>
      </c>
      <c r="AA134" s="6" t="s">
        <v>204</v>
      </c>
    </row>
    <row r="135" spans="1:27" s="4" customFormat="1" ht="44.1" customHeight="1">
      <c r="A135" s="5">
        <v>0</v>
      </c>
      <c r="B135" s="6" t="s">
        <v>946</v>
      </c>
      <c r="C135" s="7">
        <v>620</v>
      </c>
      <c r="D135" s="8" t="s">
        <v>947</v>
      </c>
      <c r="E135" s="8" t="s">
        <v>948</v>
      </c>
      <c r="F135" s="8" t="s">
        <v>903</v>
      </c>
      <c r="G135" s="6" t="s">
        <v>92</v>
      </c>
      <c r="H135" s="6" t="s">
        <v>93</v>
      </c>
      <c r="I135" s="8"/>
      <c r="J135" s="9">
        <v>1</v>
      </c>
      <c r="K135" s="9">
        <v>124</v>
      </c>
      <c r="L135" s="9">
        <v>2023</v>
      </c>
      <c r="M135" s="8" t="s">
        <v>949</v>
      </c>
      <c r="N135" s="8" t="s">
        <v>41</v>
      </c>
      <c r="O135" s="8" t="s">
        <v>42</v>
      </c>
      <c r="P135" s="6" t="s">
        <v>43</v>
      </c>
      <c r="Q135" s="8" t="s">
        <v>286</v>
      </c>
      <c r="R135" s="10" t="s">
        <v>124</v>
      </c>
      <c r="S135" s="11"/>
      <c r="T135" s="6"/>
      <c r="U135" s="27" t="str">
        <f>HYPERLINK("https://media.infra-m.ru/2023/2023951/cover/2023951.jpg", "Обложка")</f>
        <v>Обложка</v>
      </c>
      <c r="V135" s="27" t="str">
        <f>HYPERLINK("https://znanium.com/catalog/product/2023951", "Ознакомиться")</f>
        <v>Ознакомиться</v>
      </c>
      <c r="W135" s="8" t="s">
        <v>149</v>
      </c>
      <c r="X135" s="6" t="s">
        <v>950</v>
      </c>
      <c r="Y135" s="6"/>
      <c r="Z135" s="6"/>
      <c r="AA135" s="6" t="s">
        <v>461</v>
      </c>
    </row>
    <row r="136" spans="1:27" s="4" customFormat="1" ht="51.95" customHeight="1">
      <c r="A136" s="5">
        <v>0</v>
      </c>
      <c r="B136" s="6" t="s">
        <v>951</v>
      </c>
      <c r="C136" s="7">
        <v>864.9</v>
      </c>
      <c r="D136" s="8" t="s">
        <v>952</v>
      </c>
      <c r="E136" s="8" t="s">
        <v>953</v>
      </c>
      <c r="F136" s="8" t="s">
        <v>954</v>
      </c>
      <c r="G136" s="6" t="s">
        <v>119</v>
      </c>
      <c r="H136" s="6" t="s">
        <v>93</v>
      </c>
      <c r="I136" s="8"/>
      <c r="J136" s="9">
        <v>1</v>
      </c>
      <c r="K136" s="9">
        <v>192</v>
      </c>
      <c r="L136" s="9">
        <v>2023</v>
      </c>
      <c r="M136" s="8" t="s">
        <v>955</v>
      </c>
      <c r="N136" s="8" t="s">
        <v>41</v>
      </c>
      <c r="O136" s="8" t="s">
        <v>42</v>
      </c>
      <c r="P136" s="6" t="s">
        <v>43</v>
      </c>
      <c r="Q136" s="8" t="s">
        <v>75</v>
      </c>
      <c r="R136" s="10" t="s">
        <v>956</v>
      </c>
      <c r="S136" s="11"/>
      <c r="T136" s="6"/>
      <c r="U136" s="27" t="str">
        <f>HYPERLINK("https://media.infra-m.ru/2044/2044342/cover/2044342.jpg", "Обложка")</f>
        <v>Обложка</v>
      </c>
      <c r="V136" s="27" t="str">
        <f>HYPERLINK("https://znanium.com/catalog/product/999987", "Ознакомиться")</f>
        <v>Ознакомиться</v>
      </c>
      <c r="W136" s="8" t="s">
        <v>762</v>
      </c>
      <c r="X136" s="6"/>
      <c r="Y136" s="6"/>
      <c r="Z136" s="6"/>
      <c r="AA136" s="6" t="s">
        <v>150</v>
      </c>
    </row>
    <row r="137" spans="1:27" s="4" customFormat="1" ht="51.95" customHeight="1">
      <c r="A137" s="5">
        <v>0</v>
      </c>
      <c r="B137" s="6" t="s">
        <v>957</v>
      </c>
      <c r="C137" s="13">
        <v>1074.9000000000001</v>
      </c>
      <c r="D137" s="8" t="s">
        <v>958</v>
      </c>
      <c r="E137" s="8" t="s">
        <v>959</v>
      </c>
      <c r="F137" s="8" t="s">
        <v>960</v>
      </c>
      <c r="G137" s="6" t="s">
        <v>37</v>
      </c>
      <c r="H137" s="6" t="s">
        <v>161</v>
      </c>
      <c r="I137" s="8" t="s">
        <v>53</v>
      </c>
      <c r="J137" s="9">
        <v>1</v>
      </c>
      <c r="K137" s="9">
        <v>239</v>
      </c>
      <c r="L137" s="9">
        <v>2022</v>
      </c>
      <c r="M137" s="8" t="s">
        <v>961</v>
      </c>
      <c r="N137" s="8" t="s">
        <v>41</v>
      </c>
      <c r="O137" s="8" t="s">
        <v>42</v>
      </c>
      <c r="P137" s="6" t="s">
        <v>43</v>
      </c>
      <c r="Q137" s="8" t="s">
        <v>56</v>
      </c>
      <c r="R137" s="10" t="s">
        <v>962</v>
      </c>
      <c r="S137" s="11" t="s">
        <v>963</v>
      </c>
      <c r="T137" s="6"/>
      <c r="U137" s="27" t="str">
        <f>HYPERLINK("https://media.infra-m.ru/1892/1892224/cover/1892224.jpg", "Обложка")</f>
        <v>Обложка</v>
      </c>
      <c r="V137" s="27" t="str">
        <f>HYPERLINK("https://znanium.com/catalog/product/1371939", "Ознакомиться")</f>
        <v>Ознакомиться</v>
      </c>
      <c r="W137" s="8" t="s">
        <v>125</v>
      </c>
      <c r="X137" s="6"/>
      <c r="Y137" s="6"/>
      <c r="Z137" s="6"/>
      <c r="AA137" s="6" t="s">
        <v>166</v>
      </c>
    </row>
    <row r="138" spans="1:27" s="4" customFormat="1" ht="51.95" customHeight="1">
      <c r="A138" s="5">
        <v>0</v>
      </c>
      <c r="B138" s="6" t="s">
        <v>964</v>
      </c>
      <c r="C138" s="13">
        <v>1584.9</v>
      </c>
      <c r="D138" s="8" t="s">
        <v>965</v>
      </c>
      <c r="E138" s="8" t="s">
        <v>966</v>
      </c>
      <c r="F138" s="8" t="s">
        <v>967</v>
      </c>
      <c r="G138" s="6" t="s">
        <v>92</v>
      </c>
      <c r="H138" s="6" t="s">
        <v>131</v>
      </c>
      <c r="I138" s="8" t="s">
        <v>257</v>
      </c>
      <c r="J138" s="9">
        <v>1</v>
      </c>
      <c r="K138" s="9">
        <v>352</v>
      </c>
      <c r="L138" s="9">
        <v>2023</v>
      </c>
      <c r="M138" s="8" t="s">
        <v>968</v>
      </c>
      <c r="N138" s="8" t="s">
        <v>41</v>
      </c>
      <c r="O138" s="8" t="s">
        <v>42</v>
      </c>
      <c r="P138" s="6" t="s">
        <v>43</v>
      </c>
      <c r="Q138" s="8" t="s">
        <v>56</v>
      </c>
      <c r="R138" s="10" t="s">
        <v>163</v>
      </c>
      <c r="S138" s="11" t="s">
        <v>969</v>
      </c>
      <c r="T138" s="6"/>
      <c r="U138" s="27" t="str">
        <f>HYPERLINK("https://media.infra-m.ru/2023/2023169/cover/2023169.jpg", "Обложка")</f>
        <v>Обложка</v>
      </c>
      <c r="V138" s="12"/>
      <c r="W138" s="8" t="s">
        <v>149</v>
      </c>
      <c r="X138" s="6"/>
      <c r="Y138" s="6"/>
      <c r="Z138" s="6"/>
      <c r="AA138" s="6" t="s">
        <v>451</v>
      </c>
    </row>
    <row r="139" spans="1:27" s="4" customFormat="1" ht="51.95" customHeight="1">
      <c r="A139" s="5">
        <v>0</v>
      </c>
      <c r="B139" s="6" t="s">
        <v>970</v>
      </c>
      <c r="C139" s="7">
        <v>964</v>
      </c>
      <c r="D139" s="8" t="s">
        <v>971</v>
      </c>
      <c r="E139" s="8" t="s">
        <v>972</v>
      </c>
      <c r="F139" s="8" t="s">
        <v>973</v>
      </c>
      <c r="G139" s="6" t="s">
        <v>92</v>
      </c>
      <c r="H139" s="6" t="s">
        <v>38</v>
      </c>
      <c r="I139" s="8" t="s">
        <v>132</v>
      </c>
      <c r="J139" s="9">
        <v>1</v>
      </c>
      <c r="K139" s="9">
        <v>208</v>
      </c>
      <c r="L139" s="9">
        <v>2024</v>
      </c>
      <c r="M139" s="8" t="s">
        <v>974</v>
      </c>
      <c r="N139" s="8" t="s">
        <v>41</v>
      </c>
      <c r="O139" s="8" t="s">
        <v>42</v>
      </c>
      <c r="P139" s="6" t="s">
        <v>55</v>
      </c>
      <c r="Q139" s="8" t="s">
        <v>75</v>
      </c>
      <c r="R139" s="10" t="s">
        <v>975</v>
      </c>
      <c r="S139" s="11" t="s">
        <v>976</v>
      </c>
      <c r="T139" s="6"/>
      <c r="U139" s="27" t="str">
        <f>HYPERLINK("https://media.infra-m.ru/2094/2094504/cover/2094504.jpg", "Обложка")</f>
        <v>Обложка</v>
      </c>
      <c r="V139" s="27" t="str">
        <f>HYPERLINK("https://znanium.com/catalog/product/1070534", "Ознакомиться")</f>
        <v>Ознакомиться</v>
      </c>
      <c r="W139" s="8" t="s">
        <v>125</v>
      </c>
      <c r="X139" s="6"/>
      <c r="Y139" s="6"/>
      <c r="Z139" s="6"/>
      <c r="AA139" s="6" t="s">
        <v>150</v>
      </c>
    </row>
    <row r="140" spans="1:27" s="4" customFormat="1" ht="51.95" customHeight="1">
      <c r="A140" s="5">
        <v>0</v>
      </c>
      <c r="B140" s="6" t="s">
        <v>977</v>
      </c>
      <c r="C140" s="13">
        <v>1010</v>
      </c>
      <c r="D140" s="8" t="s">
        <v>978</v>
      </c>
      <c r="E140" s="8" t="s">
        <v>979</v>
      </c>
      <c r="F140" s="8" t="s">
        <v>980</v>
      </c>
      <c r="G140" s="6" t="s">
        <v>119</v>
      </c>
      <c r="H140" s="6" t="s">
        <v>38</v>
      </c>
      <c r="I140" s="8" t="s">
        <v>132</v>
      </c>
      <c r="J140" s="9">
        <v>1</v>
      </c>
      <c r="K140" s="9">
        <v>219</v>
      </c>
      <c r="L140" s="9">
        <v>2024</v>
      </c>
      <c r="M140" s="8" t="s">
        <v>981</v>
      </c>
      <c r="N140" s="8" t="s">
        <v>41</v>
      </c>
      <c r="O140" s="8" t="s">
        <v>42</v>
      </c>
      <c r="P140" s="6" t="s">
        <v>43</v>
      </c>
      <c r="Q140" s="8" t="s">
        <v>75</v>
      </c>
      <c r="R140" s="10" t="s">
        <v>982</v>
      </c>
      <c r="S140" s="11" t="s">
        <v>983</v>
      </c>
      <c r="T140" s="6"/>
      <c r="U140" s="27" t="str">
        <f>HYPERLINK("https://media.infra-m.ru/2093/2093905/cover/2093905.jpg", "Обложка")</f>
        <v>Обложка</v>
      </c>
      <c r="V140" s="27" t="str">
        <f>HYPERLINK("https://znanium.com/catalog/product/2093905", "Ознакомиться")</f>
        <v>Ознакомиться</v>
      </c>
      <c r="W140" s="8" t="s">
        <v>984</v>
      </c>
      <c r="X140" s="6"/>
      <c r="Y140" s="6"/>
      <c r="Z140" s="6"/>
      <c r="AA140" s="6" t="s">
        <v>985</v>
      </c>
    </row>
    <row r="141" spans="1:27" s="4" customFormat="1" ht="42" customHeight="1">
      <c r="A141" s="5">
        <v>0</v>
      </c>
      <c r="B141" s="6" t="s">
        <v>986</v>
      </c>
      <c r="C141" s="13">
        <v>2290</v>
      </c>
      <c r="D141" s="8" t="s">
        <v>987</v>
      </c>
      <c r="E141" s="8" t="s">
        <v>988</v>
      </c>
      <c r="F141" s="8" t="s">
        <v>989</v>
      </c>
      <c r="G141" s="6" t="s">
        <v>37</v>
      </c>
      <c r="H141" s="6" t="s">
        <v>93</v>
      </c>
      <c r="I141" s="8"/>
      <c r="J141" s="9">
        <v>1</v>
      </c>
      <c r="K141" s="9">
        <v>512</v>
      </c>
      <c r="L141" s="9">
        <v>2023</v>
      </c>
      <c r="M141" s="8" t="s">
        <v>990</v>
      </c>
      <c r="N141" s="8" t="s">
        <v>41</v>
      </c>
      <c r="O141" s="8" t="s">
        <v>42</v>
      </c>
      <c r="P141" s="6" t="s">
        <v>457</v>
      </c>
      <c r="Q141" s="8" t="s">
        <v>75</v>
      </c>
      <c r="R141" s="10" t="s">
        <v>991</v>
      </c>
      <c r="S141" s="11"/>
      <c r="T141" s="6"/>
      <c r="U141" s="27" t="str">
        <f>HYPERLINK("https://media.infra-m.ru/1898/1898167/cover/1898167.jpg", "Обложка")</f>
        <v>Обложка</v>
      </c>
      <c r="V141" s="27" t="str">
        <f>HYPERLINK("https://znanium.com/catalog/product/1898167", "Ознакомиться")</f>
        <v>Ознакомиться</v>
      </c>
      <c r="W141" s="8" t="s">
        <v>992</v>
      </c>
      <c r="X141" s="6"/>
      <c r="Y141" s="6"/>
      <c r="Z141" s="6"/>
      <c r="AA141" s="6" t="s">
        <v>382</v>
      </c>
    </row>
    <row r="142" spans="1:27" s="4" customFormat="1" ht="51.95" customHeight="1">
      <c r="A142" s="5">
        <v>0</v>
      </c>
      <c r="B142" s="6" t="s">
        <v>993</v>
      </c>
      <c r="C142" s="13">
        <v>2700</v>
      </c>
      <c r="D142" s="8" t="s">
        <v>994</v>
      </c>
      <c r="E142" s="8" t="s">
        <v>995</v>
      </c>
      <c r="F142" s="8" t="s">
        <v>996</v>
      </c>
      <c r="G142" s="6" t="s">
        <v>92</v>
      </c>
      <c r="H142" s="6" t="s">
        <v>38</v>
      </c>
      <c r="I142" s="8" t="s">
        <v>132</v>
      </c>
      <c r="J142" s="9">
        <v>1</v>
      </c>
      <c r="K142" s="9">
        <v>589</v>
      </c>
      <c r="L142" s="9">
        <v>2024</v>
      </c>
      <c r="M142" s="8" t="s">
        <v>997</v>
      </c>
      <c r="N142" s="8" t="s">
        <v>41</v>
      </c>
      <c r="O142" s="8" t="s">
        <v>42</v>
      </c>
      <c r="P142" s="6" t="s">
        <v>55</v>
      </c>
      <c r="Q142" s="8" t="s">
        <v>75</v>
      </c>
      <c r="R142" s="10" t="s">
        <v>124</v>
      </c>
      <c r="S142" s="11" t="s">
        <v>998</v>
      </c>
      <c r="T142" s="6"/>
      <c r="U142" s="27" t="str">
        <f>HYPERLINK("https://media.infra-m.ru/2084/2084406/cover/2084406.jpg", "Обложка")</f>
        <v>Обложка</v>
      </c>
      <c r="V142" s="27" t="str">
        <f>HYPERLINK("https://znanium.com/catalog/product/2084406", "Ознакомиться")</f>
        <v>Ознакомиться</v>
      </c>
      <c r="W142" s="8" t="s">
        <v>125</v>
      </c>
      <c r="X142" s="6"/>
      <c r="Y142" s="6"/>
      <c r="Z142" s="6"/>
      <c r="AA142" s="6" t="s">
        <v>382</v>
      </c>
    </row>
    <row r="143" spans="1:27" s="4" customFormat="1" ht="51.95" customHeight="1">
      <c r="A143" s="5">
        <v>0</v>
      </c>
      <c r="B143" s="6" t="s">
        <v>999</v>
      </c>
      <c r="C143" s="13">
        <v>1550</v>
      </c>
      <c r="D143" s="8" t="s">
        <v>1000</v>
      </c>
      <c r="E143" s="8" t="s">
        <v>988</v>
      </c>
      <c r="F143" s="8" t="s">
        <v>1001</v>
      </c>
      <c r="G143" s="6" t="s">
        <v>37</v>
      </c>
      <c r="H143" s="6" t="s">
        <v>38</v>
      </c>
      <c r="I143" s="8" t="s">
        <v>132</v>
      </c>
      <c r="J143" s="9">
        <v>1</v>
      </c>
      <c r="K143" s="9">
        <v>337</v>
      </c>
      <c r="L143" s="9">
        <v>2024</v>
      </c>
      <c r="M143" s="8" t="s">
        <v>1002</v>
      </c>
      <c r="N143" s="8" t="s">
        <v>41</v>
      </c>
      <c r="O143" s="8" t="s">
        <v>42</v>
      </c>
      <c r="P143" s="6" t="s">
        <v>55</v>
      </c>
      <c r="Q143" s="8" t="s">
        <v>75</v>
      </c>
      <c r="R143" s="10" t="s">
        <v>1003</v>
      </c>
      <c r="S143" s="11" t="s">
        <v>1004</v>
      </c>
      <c r="T143" s="6"/>
      <c r="U143" s="27" t="str">
        <f>HYPERLINK("https://media.infra-m.ru/2084/2084408/cover/2084408.jpg", "Обложка")</f>
        <v>Обложка</v>
      </c>
      <c r="V143" s="27" t="str">
        <f>HYPERLINK("https://znanium.com/catalog/product/2084408", "Ознакомиться")</f>
        <v>Ознакомиться</v>
      </c>
      <c r="W143" s="8" t="s">
        <v>125</v>
      </c>
      <c r="X143" s="6"/>
      <c r="Y143" s="6"/>
      <c r="Z143" s="6"/>
      <c r="AA143" s="6" t="s">
        <v>339</v>
      </c>
    </row>
    <row r="144" spans="1:27" s="4" customFormat="1" ht="51.95" customHeight="1">
      <c r="A144" s="5">
        <v>0</v>
      </c>
      <c r="B144" s="6" t="s">
        <v>1005</v>
      </c>
      <c r="C144" s="13">
        <v>1764</v>
      </c>
      <c r="D144" s="8" t="s">
        <v>1006</v>
      </c>
      <c r="E144" s="8" t="s">
        <v>988</v>
      </c>
      <c r="F144" s="8" t="s">
        <v>1007</v>
      </c>
      <c r="G144" s="6" t="s">
        <v>92</v>
      </c>
      <c r="H144" s="6" t="s">
        <v>717</v>
      </c>
      <c r="I144" s="8" t="s">
        <v>1008</v>
      </c>
      <c r="J144" s="9">
        <v>1</v>
      </c>
      <c r="K144" s="9">
        <v>383</v>
      </c>
      <c r="L144" s="9">
        <v>2024</v>
      </c>
      <c r="M144" s="8" t="s">
        <v>1009</v>
      </c>
      <c r="N144" s="8" t="s">
        <v>41</v>
      </c>
      <c r="O144" s="8" t="s">
        <v>42</v>
      </c>
      <c r="P144" s="6" t="s">
        <v>55</v>
      </c>
      <c r="Q144" s="8" t="s">
        <v>123</v>
      </c>
      <c r="R144" s="10" t="s">
        <v>1010</v>
      </c>
      <c r="S144" s="11" t="s">
        <v>1011</v>
      </c>
      <c r="T144" s="6"/>
      <c r="U144" s="27" t="str">
        <f>HYPERLINK("https://media.infra-m.ru/1859/1859817/cover/1859817.jpg", "Обложка")</f>
        <v>Обложка</v>
      </c>
      <c r="V144" s="27" t="str">
        <f>HYPERLINK("https://znanium.com/catalog/product/1058466", "Ознакомиться")</f>
        <v>Ознакомиться</v>
      </c>
      <c r="W144" s="8" t="s">
        <v>125</v>
      </c>
      <c r="X144" s="6"/>
      <c r="Y144" s="6"/>
      <c r="Z144" s="6"/>
      <c r="AA144" s="6" t="s">
        <v>266</v>
      </c>
    </row>
    <row r="145" spans="1:27" s="4" customFormat="1" ht="51.95" customHeight="1">
      <c r="A145" s="5">
        <v>0</v>
      </c>
      <c r="B145" s="6" t="s">
        <v>1012</v>
      </c>
      <c r="C145" s="13">
        <v>2180</v>
      </c>
      <c r="D145" s="8" t="s">
        <v>1013</v>
      </c>
      <c r="E145" s="8" t="s">
        <v>988</v>
      </c>
      <c r="F145" s="8" t="s">
        <v>1014</v>
      </c>
      <c r="G145" s="6" t="s">
        <v>92</v>
      </c>
      <c r="H145" s="6" t="s">
        <v>131</v>
      </c>
      <c r="I145" s="8" t="s">
        <v>132</v>
      </c>
      <c r="J145" s="9">
        <v>1</v>
      </c>
      <c r="K145" s="9">
        <v>464</v>
      </c>
      <c r="L145" s="9">
        <v>2024</v>
      </c>
      <c r="M145" s="8" t="s">
        <v>1015</v>
      </c>
      <c r="N145" s="8" t="s">
        <v>41</v>
      </c>
      <c r="O145" s="8" t="s">
        <v>42</v>
      </c>
      <c r="P145" s="6" t="s">
        <v>55</v>
      </c>
      <c r="Q145" s="8" t="s">
        <v>75</v>
      </c>
      <c r="R145" s="10" t="s">
        <v>1016</v>
      </c>
      <c r="S145" s="11"/>
      <c r="T145" s="6"/>
      <c r="U145" s="27" t="str">
        <f>HYPERLINK("https://media.infra-m.ru/2103/2103739/cover/2103739.jpg", "Обложка")</f>
        <v>Обложка</v>
      </c>
      <c r="V145" s="27" t="str">
        <f>HYPERLINK("https://znanium.com/catalog/product/2103739", "Ознакомиться")</f>
        <v>Ознакомиться</v>
      </c>
      <c r="W145" s="8" t="s">
        <v>1017</v>
      </c>
      <c r="X145" s="6"/>
      <c r="Y145" s="6"/>
      <c r="Z145" s="6"/>
      <c r="AA145" s="6" t="s">
        <v>150</v>
      </c>
    </row>
    <row r="146" spans="1:27" s="4" customFormat="1" ht="51.95" customHeight="1">
      <c r="A146" s="5">
        <v>0</v>
      </c>
      <c r="B146" s="6" t="s">
        <v>1018</v>
      </c>
      <c r="C146" s="13">
        <v>1094.9000000000001</v>
      </c>
      <c r="D146" s="8" t="s">
        <v>1019</v>
      </c>
      <c r="E146" s="8" t="s">
        <v>988</v>
      </c>
      <c r="F146" s="8" t="s">
        <v>1020</v>
      </c>
      <c r="G146" s="6" t="s">
        <v>92</v>
      </c>
      <c r="H146" s="6" t="s">
        <v>38</v>
      </c>
      <c r="I146" s="8" t="s">
        <v>73</v>
      </c>
      <c r="J146" s="9">
        <v>1</v>
      </c>
      <c r="K146" s="9">
        <v>320</v>
      </c>
      <c r="L146" s="9">
        <v>2020</v>
      </c>
      <c r="M146" s="8" t="s">
        <v>1021</v>
      </c>
      <c r="N146" s="8" t="s">
        <v>41</v>
      </c>
      <c r="O146" s="8" t="s">
        <v>42</v>
      </c>
      <c r="P146" s="6" t="s">
        <v>55</v>
      </c>
      <c r="Q146" s="8" t="s">
        <v>75</v>
      </c>
      <c r="R146" s="10" t="s">
        <v>1022</v>
      </c>
      <c r="S146" s="11" t="s">
        <v>1023</v>
      </c>
      <c r="T146" s="6" t="s">
        <v>59</v>
      </c>
      <c r="U146" s="27" t="str">
        <f>HYPERLINK("https://media.infra-m.ru/1081/1081913/cover/1081913.jpg", "Обложка")</f>
        <v>Обложка</v>
      </c>
      <c r="V146" s="27" t="str">
        <f>HYPERLINK("https://znanium.com/catalog/product/1978083", "Ознакомиться")</f>
        <v>Ознакомиться</v>
      </c>
      <c r="W146" s="8" t="s">
        <v>1024</v>
      </c>
      <c r="X146" s="6"/>
      <c r="Y146" s="6"/>
      <c r="Z146" s="6"/>
      <c r="AA146" s="6" t="s">
        <v>346</v>
      </c>
    </row>
    <row r="147" spans="1:27" s="4" customFormat="1" ht="51.95" customHeight="1">
      <c r="A147" s="5">
        <v>0</v>
      </c>
      <c r="B147" s="6" t="s">
        <v>1025</v>
      </c>
      <c r="C147" s="13">
        <v>1880</v>
      </c>
      <c r="D147" s="8" t="s">
        <v>1026</v>
      </c>
      <c r="E147" s="8" t="s">
        <v>1027</v>
      </c>
      <c r="F147" s="8" t="s">
        <v>1020</v>
      </c>
      <c r="G147" s="6" t="s">
        <v>37</v>
      </c>
      <c r="H147" s="6" t="s">
        <v>38</v>
      </c>
      <c r="I147" s="8" t="s">
        <v>73</v>
      </c>
      <c r="J147" s="9">
        <v>1</v>
      </c>
      <c r="K147" s="9">
        <v>410</v>
      </c>
      <c r="L147" s="9">
        <v>2023</v>
      </c>
      <c r="M147" s="8" t="s">
        <v>1028</v>
      </c>
      <c r="N147" s="8" t="s">
        <v>41</v>
      </c>
      <c r="O147" s="8" t="s">
        <v>42</v>
      </c>
      <c r="P147" s="6" t="s">
        <v>55</v>
      </c>
      <c r="Q147" s="8" t="s">
        <v>75</v>
      </c>
      <c r="R147" s="10" t="s">
        <v>1022</v>
      </c>
      <c r="S147" s="11" t="s">
        <v>1029</v>
      </c>
      <c r="T147" s="6" t="s">
        <v>59</v>
      </c>
      <c r="U147" s="27" t="str">
        <f>HYPERLINK("https://media.infra-m.ru/1978/1978083/cover/1978083.jpg", "Обложка")</f>
        <v>Обложка</v>
      </c>
      <c r="V147" s="27" t="str">
        <f>HYPERLINK("https://znanium.com/catalog/product/1978083", "Ознакомиться")</f>
        <v>Ознакомиться</v>
      </c>
      <c r="W147" s="8" t="s">
        <v>1024</v>
      </c>
      <c r="X147" s="6"/>
      <c r="Y147" s="6"/>
      <c r="Z147" s="6"/>
      <c r="AA147" s="6" t="s">
        <v>559</v>
      </c>
    </row>
    <row r="148" spans="1:27" s="4" customFormat="1" ht="42" customHeight="1">
      <c r="A148" s="5">
        <v>0</v>
      </c>
      <c r="B148" s="6" t="s">
        <v>1030</v>
      </c>
      <c r="C148" s="13">
        <v>1080</v>
      </c>
      <c r="D148" s="8" t="s">
        <v>1031</v>
      </c>
      <c r="E148" s="8" t="s">
        <v>988</v>
      </c>
      <c r="F148" s="8" t="s">
        <v>1032</v>
      </c>
      <c r="G148" s="6" t="s">
        <v>37</v>
      </c>
      <c r="H148" s="6" t="s">
        <v>209</v>
      </c>
      <c r="I148" s="8" t="s">
        <v>257</v>
      </c>
      <c r="J148" s="9">
        <v>1</v>
      </c>
      <c r="K148" s="9">
        <v>240</v>
      </c>
      <c r="L148" s="9">
        <v>2023</v>
      </c>
      <c r="M148" s="8" t="s">
        <v>1033</v>
      </c>
      <c r="N148" s="8" t="s">
        <v>41</v>
      </c>
      <c r="O148" s="8" t="s">
        <v>42</v>
      </c>
      <c r="P148" s="6" t="s">
        <v>55</v>
      </c>
      <c r="Q148" s="8" t="s">
        <v>56</v>
      </c>
      <c r="R148" s="10" t="s">
        <v>1034</v>
      </c>
      <c r="S148" s="11"/>
      <c r="T148" s="6"/>
      <c r="U148" s="27" t="str">
        <f>HYPERLINK("https://media.infra-m.ru/1976/1976161/cover/1976161.jpg", "Обложка")</f>
        <v>Обложка</v>
      </c>
      <c r="V148" s="12"/>
      <c r="W148" s="8"/>
      <c r="X148" s="6"/>
      <c r="Y148" s="6"/>
      <c r="Z148" s="6" t="s">
        <v>60</v>
      </c>
      <c r="AA148" s="6" t="s">
        <v>126</v>
      </c>
    </row>
    <row r="149" spans="1:27" s="4" customFormat="1" ht="51.95" customHeight="1">
      <c r="A149" s="5">
        <v>0</v>
      </c>
      <c r="B149" s="6" t="s">
        <v>1035</v>
      </c>
      <c r="C149" s="13">
        <v>1694</v>
      </c>
      <c r="D149" s="8" t="s">
        <v>1036</v>
      </c>
      <c r="E149" s="8" t="s">
        <v>988</v>
      </c>
      <c r="F149" s="8" t="s">
        <v>1037</v>
      </c>
      <c r="G149" s="6" t="s">
        <v>92</v>
      </c>
      <c r="H149" s="6" t="s">
        <v>93</v>
      </c>
      <c r="I149" s="8" t="s">
        <v>351</v>
      </c>
      <c r="J149" s="9">
        <v>1</v>
      </c>
      <c r="K149" s="9">
        <v>368</v>
      </c>
      <c r="L149" s="9">
        <v>2024</v>
      </c>
      <c r="M149" s="8" t="s">
        <v>1038</v>
      </c>
      <c r="N149" s="8" t="s">
        <v>41</v>
      </c>
      <c r="O149" s="8" t="s">
        <v>42</v>
      </c>
      <c r="P149" s="6" t="s">
        <v>55</v>
      </c>
      <c r="Q149" s="8" t="s">
        <v>75</v>
      </c>
      <c r="R149" s="10" t="s">
        <v>1039</v>
      </c>
      <c r="S149" s="11" t="s">
        <v>1040</v>
      </c>
      <c r="T149" s="6"/>
      <c r="U149" s="27" t="str">
        <f>HYPERLINK("https://media.infra-m.ru/2083/2083312/cover/2083312.jpg", "Обложка")</f>
        <v>Обложка</v>
      </c>
      <c r="V149" s="27" t="str">
        <f>HYPERLINK("https://znanium.com/catalog/product/1843641", "Ознакомиться")</f>
        <v>Ознакомиться</v>
      </c>
      <c r="W149" s="8"/>
      <c r="X149" s="6"/>
      <c r="Y149" s="6"/>
      <c r="Z149" s="6"/>
      <c r="AA149" s="6" t="s">
        <v>150</v>
      </c>
    </row>
    <row r="150" spans="1:27" s="4" customFormat="1" ht="51.95" customHeight="1">
      <c r="A150" s="5">
        <v>0</v>
      </c>
      <c r="B150" s="6" t="s">
        <v>1041</v>
      </c>
      <c r="C150" s="13">
        <v>1404</v>
      </c>
      <c r="D150" s="8" t="s">
        <v>1042</v>
      </c>
      <c r="E150" s="8" t="s">
        <v>988</v>
      </c>
      <c r="F150" s="8" t="s">
        <v>1043</v>
      </c>
      <c r="G150" s="6" t="s">
        <v>37</v>
      </c>
      <c r="H150" s="6" t="s">
        <v>38</v>
      </c>
      <c r="I150" s="8" t="s">
        <v>73</v>
      </c>
      <c r="J150" s="9">
        <v>1</v>
      </c>
      <c r="K150" s="9">
        <v>305</v>
      </c>
      <c r="L150" s="9">
        <v>2024</v>
      </c>
      <c r="M150" s="8" t="s">
        <v>1044</v>
      </c>
      <c r="N150" s="8" t="s">
        <v>41</v>
      </c>
      <c r="O150" s="8" t="s">
        <v>42</v>
      </c>
      <c r="P150" s="6" t="s">
        <v>55</v>
      </c>
      <c r="Q150" s="8" t="s">
        <v>75</v>
      </c>
      <c r="R150" s="10" t="s">
        <v>1045</v>
      </c>
      <c r="S150" s="11" t="s">
        <v>1046</v>
      </c>
      <c r="T150" s="6"/>
      <c r="U150" s="27" t="str">
        <f>HYPERLINK("https://media.infra-m.ru/2103/2103695/cover/2103695.jpg", "Обложка")</f>
        <v>Обложка</v>
      </c>
      <c r="V150" s="27" t="str">
        <f>HYPERLINK("https://znanium.com/catalog/product/1673158", "Ознакомиться")</f>
        <v>Ознакомиться</v>
      </c>
      <c r="W150" s="8" t="s">
        <v>1047</v>
      </c>
      <c r="X150" s="6"/>
      <c r="Y150" s="6"/>
      <c r="Z150" s="6"/>
      <c r="AA150" s="6" t="s">
        <v>61</v>
      </c>
    </row>
    <row r="151" spans="1:27" s="4" customFormat="1" ht="51.95" customHeight="1">
      <c r="A151" s="5">
        <v>0</v>
      </c>
      <c r="B151" s="6" t="s">
        <v>1048</v>
      </c>
      <c r="C151" s="13">
        <v>1764</v>
      </c>
      <c r="D151" s="8" t="s">
        <v>1049</v>
      </c>
      <c r="E151" s="8" t="s">
        <v>988</v>
      </c>
      <c r="F151" s="8" t="s">
        <v>1050</v>
      </c>
      <c r="G151" s="6" t="s">
        <v>92</v>
      </c>
      <c r="H151" s="6" t="s">
        <v>52</v>
      </c>
      <c r="I151" s="8"/>
      <c r="J151" s="9">
        <v>1</v>
      </c>
      <c r="K151" s="9">
        <v>384</v>
      </c>
      <c r="L151" s="9">
        <v>2024</v>
      </c>
      <c r="M151" s="8" t="s">
        <v>1051</v>
      </c>
      <c r="N151" s="8" t="s">
        <v>41</v>
      </c>
      <c r="O151" s="8" t="s">
        <v>42</v>
      </c>
      <c r="P151" s="6" t="s">
        <v>43</v>
      </c>
      <c r="Q151" s="8" t="s">
        <v>75</v>
      </c>
      <c r="R151" s="10" t="s">
        <v>1052</v>
      </c>
      <c r="S151" s="11" t="s">
        <v>1053</v>
      </c>
      <c r="T151" s="6"/>
      <c r="U151" s="27" t="str">
        <f>HYPERLINK("https://media.infra-m.ru/2108/2108454/cover/2108454.jpg", "Обложка")</f>
        <v>Обложка</v>
      </c>
      <c r="V151" s="27" t="str">
        <f>HYPERLINK("https://znanium.com/catalog/product/929685", "Ознакомиться")</f>
        <v>Ознакомиться</v>
      </c>
      <c r="W151" s="8" t="s">
        <v>46</v>
      </c>
      <c r="X151" s="6"/>
      <c r="Y151" s="6"/>
      <c r="Z151" s="6"/>
      <c r="AA151" s="6" t="s">
        <v>47</v>
      </c>
    </row>
    <row r="152" spans="1:27" s="4" customFormat="1" ht="51.95" customHeight="1">
      <c r="A152" s="5">
        <v>0</v>
      </c>
      <c r="B152" s="6" t="s">
        <v>1054</v>
      </c>
      <c r="C152" s="13">
        <v>1100</v>
      </c>
      <c r="D152" s="8" t="s">
        <v>1055</v>
      </c>
      <c r="E152" s="8" t="s">
        <v>1056</v>
      </c>
      <c r="F152" s="8" t="s">
        <v>1057</v>
      </c>
      <c r="G152" s="6" t="s">
        <v>37</v>
      </c>
      <c r="H152" s="6" t="s">
        <v>161</v>
      </c>
      <c r="I152" s="8" t="s">
        <v>53</v>
      </c>
      <c r="J152" s="9">
        <v>1</v>
      </c>
      <c r="K152" s="9">
        <v>238</v>
      </c>
      <c r="L152" s="9">
        <v>2024</v>
      </c>
      <c r="M152" s="8" t="s">
        <v>1058</v>
      </c>
      <c r="N152" s="8" t="s">
        <v>41</v>
      </c>
      <c r="O152" s="8" t="s">
        <v>42</v>
      </c>
      <c r="P152" s="6" t="s">
        <v>43</v>
      </c>
      <c r="Q152" s="8" t="s">
        <v>56</v>
      </c>
      <c r="R152" s="10" t="s">
        <v>1059</v>
      </c>
      <c r="S152" s="11" t="s">
        <v>1060</v>
      </c>
      <c r="T152" s="6"/>
      <c r="U152" s="27" t="str">
        <f>HYPERLINK("https://media.infra-m.ru/2110/2110941/cover/2110941.jpg", "Обложка")</f>
        <v>Обложка</v>
      </c>
      <c r="V152" s="27" t="str">
        <f>HYPERLINK("https://znanium.com/catalog/product/2110941", "Ознакомиться")</f>
        <v>Ознакомиться</v>
      </c>
      <c r="W152" s="8" t="s">
        <v>125</v>
      </c>
      <c r="X152" s="6"/>
      <c r="Y152" s="6"/>
      <c r="Z152" s="6"/>
      <c r="AA152" s="6" t="s">
        <v>1061</v>
      </c>
    </row>
    <row r="153" spans="1:27" s="4" customFormat="1" ht="51.95" customHeight="1">
      <c r="A153" s="5">
        <v>0</v>
      </c>
      <c r="B153" s="6" t="s">
        <v>1062</v>
      </c>
      <c r="C153" s="13">
        <v>1470</v>
      </c>
      <c r="D153" s="8" t="s">
        <v>1063</v>
      </c>
      <c r="E153" s="8" t="s">
        <v>1027</v>
      </c>
      <c r="F153" s="8" t="s">
        <v>1064</v>
      </c>
      <c r="G153" s="6" t="s">
        <v>37</v>
      </c>
      <c r="H153" s="6" t="s">
        <v>38</v>
      </c>
      <c r="I153" s="8" t="s">
        <v>53</v>
      </c>
      <c r="J153" s="9">
        <v>1</v>
      </c>
      <c r="K153" s="9">
        <v>320</v>
      </c>
      <c r="L153" s="9">
        <v>2024</v>
      </c>
      <c r="M153" s="8" t="s">
        <v>1065</v>
      </c>
      <c r="N153" s="8" t="s">
        <v>41</v>
      </c>
      <c r="O153" s="8" t="s">
        <v>42</v>
      </c>
      <c r="P153" s="6" t="s">
        <v>43</v>
      </c>
      <c r="Q153" s="8" t="s">
        <v>56</v>
      </c>
      <c r="R153" s="10" t="s">
        <v>1066</v>
      </c>
      <c r="S153" s="11" t="s">
        <v>1067</v>
      </c>
      <c r="T153" s="6"/>
      <c r="U153" s="27" t="str">
        <f>HYPERLINK("https://media.infra-m.ru/2056/2056806/cover/2056806.jpg", "Обложка")</f>
        <v>Обложка</v>
      </c>
      <c r="V153" s="27" t="str">
        <f>HYPERLINK("https://znanium.com/catalog/product/2056806", "Ознакомиться")</f>
        <v>Ознакомиться</v>
      </c>
      <c r="W153" s="8" t="s">
        <v>338</v>
      </c>
      <c r="X153" s="6"/>
      <c r="Y153" s="6"/>
      <c r="Z153" s="6"/>
      <c r="AA153" s="6" t="s">
        <v>781</v>
      </c>
    </row>
    <row r="154" spans="1:27" s="4" customFormat="1" ht="51.95" customHeight="1">
      <c r="A154" s="5">
        <v>0</v>
      </c>
      <c r="B154" s="6" t="s">
        <v>1068</v>
      </c>
      <c r="C154" s="13">
        <v>1624</v>
      </c>
      <c r="D154" s="8" t="s">
        <v>1069</v>
      </c>
      <c r="E154" s="8" t="s">
        <v>988</v>
      </c>
      <c r="F154" s="8" t="s">
        <v>1070</v>
      </c>
      <c r="G154" s="6" t="s">
        <v>92</v>
      </c>
      <c r="H154" s="6" t="s">
        <v>161</v>
      </c>
      <c r="I154" s="8" t="s">
        <v>257</v>
      </c>
      <c r="J154" s="9">
        <v>1</v>
      </c>
      <c r="K154" s="9">
        <v>352</v>
      </c>
      <c r="L154" s="9">
        <v>2024</v>
      </c>
      <c r="M154" s="8" t="s">
        <v>1071</v>
      </c>
      <c r="N154" s="8" t="s">
        <v>41</v>
      </c>
      <c r="O154" s="8" t="s">
        <v>42</v>
      </c>
      <c r="P154" s="6" t="s">
        <v>43</v>
      </c>
      <c r="Q154" s="8" t="s">
        <v>56</v>
      </c>
      <c r="R154" s="10" t="s">
        <v>962</v>
      </c>
      <c r="S154" s="11" t="s">
        <v>1072</v>
      </c>
      <c r="T154" s="6"/>
      <c r="U154" s="27" t="str">
        <f>HYPERLINK("https://media.infra-m.ru/2079/2079170/cover/2079170.jpg", "Обложка")</f>
        <v>Обложка</v>
      </c>
      <c r="V154" s="27" t="str">
        <f>HYPERLINK("https://znanium.com/catalog/product/1072282", "Ознакомиться")</f>
        <v>Ознакомиться</v>
      </c>
      <c r="W154" s="8"/>
      <c r="X154" s="6"/>
      <c r="Y154" s="6"/>
      <c r="Z154" s="6"/>
      <c r="AA154" s="6" t="s">
        <v>47</v>
      </c>
    </row>
    <row r="155" spans="1:27" s="4" customFormat="1" ht="51.95" customHeight="1">
      <c r="A155" s="5">
        <v>0</v>
      </c>
      <c r="B155" s="6" t="s">
        <v>1073</v>
      </c>
      <c r="C155" s="7">
        <v>904</v>
      </c>
      <c r="D155" s="8" t="s">
        <v>1074</v>
      </c>
      <c r="E155" s="8" t="s">
        <v>1075</v>
      </c>
      <c r="F155" s="8" t="s">
        <v>1076</v>
      </c>
      <c r="G155" s="6" t="s">
        <v>37</v>
      </c>
      <c r="H155" s="6" t="s">
        <v>38</v>
      </c>
      <c r="I155" s="8" t="s">
        <v>73</v>
      </c>
      <c r="J155" s="9">
        <v>1</v>
      </c>
      <c r="K155" s="9">
        <v>199</v>
      </c>
      <c r="L155" s="9">
        <v>2023</v>
      </c>
      <c r="M155" s="8" t="s">
        <v>1077</v>
      </c>
      <c r="N155" s="8" t="s">
        <v>41</v>
      </c>
      <c r="O155" s="8" t="s">
        <v>42</v>
      </c>
      <c r="P155" s="6" t="s">
        <v>43</v>
      </c>
      <c r="Q155" s="8" t="s">
        <v>75</v>
      </c>
      <c r="R155" s="10" t="s">
        <v>327</v>
      </c>
      <c r="S155" s="11" t="s">
        <v>1078</v>
      </c>
      <c r="T155" s="6"/>
      <c r="U155" s="27" t="str">
        <f>HYPERLINK("https://media.infra-m.ru/1989/1989316/cover/1989316.jpg", "Обложка")</f>
        <v>Обложка</v>
      </c>
      <c r="V155" s="27" t="str">
        <f>HYPERLINK("https://znanium.com/catalog/product/1903657", "Ознакомиться")</f>
        <v>Ознакомиться</v>
      </c>
      <c r="W155" s="8" t="s">
        <v>329</v>
      </c>
      <c r="X155" s="6"/>
      <c r="Y155" s="6"/>
      <c r="Z155" s="6"/>
      <c r="AA155" s="6" t="s">
        <v>1079</v>
      </c>
    </row>
    <row r="156" spans="1:27" s="4" customFormat="1" ht="51.95" customHeight="1">
      <c r="A156" s="5">
        <v>0</v>
      </c>
      <c r="B156" s="6" t="s">
        <v>1080</v>
      </c>
      <c r="C156" s="7">
        <v>920</v>
      </c>
      <c r="D156" s="8" t="s">
        <v>1081</v>
      </c>
      <c r="E156" s="8" t="s">
        <v>1075</v>
      </c>
      <c r="F156" s="8" t="s">
        <v>1076</v>
      </c>
      <c r="G156" s="6" t="s">
        <v>37</v>
      </c>
      <c r="H156" s="6" t="s">
        <v>38</v>
      </c>
      <c r="I156" s="8" t="s">
        <v>53</v>
      </c>
      <c r="J156" s="9">
        <v>1</v>
      </c>
      <c r="K156" s="9">
        <v>199</v>
      </c>
      <c r="L156" s="9">
        <v>2023</v>
      </c>
      <c r="M156" s="8" t="s">
        <v>1082</v>
      </c>
      <c r="N156" s="8" t="s">
        <v>41</v>
      </c>
      <c r="O156" s="8" t="s">
        <v>42</v>
      </c>
      <c r="P156" s="6" t="s">
        <v>43</v>
      </c>
      <c r="Q156" s="8" t="s">
        <v>56</v>
      </c>
      <c r="R156" s="10" t="s">
        <v>327</v>
      </c>
      <c r="S156" s="11" t="s">
        <v>1083</v>
      </c>
      <c r="T156" s="6"/>
      <c r="U156" s="27" t="str">
        <f>HYPERLINK("https://media.infra-m.ru/2067/2067373/cover/2067373.jpg", "Обложка")</f>
        <v>Обложка</v>
      </c>
      <c r="V156" s="27" t="str">
        <f>HYPERLINK("https://znanium.com/catalog/product/2067373", "Ознакомиться")</f>
        <v>Ознакомиться</v>
      </c>
      <c r="W156" s="8" t="s">
        <v>329</v>
      </c>
      <c r="X156" s="6"/>
      <c r="Y156" s="6"/>
      <c r="Z156" s="6" t="s">
        <v>945</v>
      </c>
      <c r="AA156" s="6" t="s">
        <v>1084</v>
      </c>
    </row>
    <row r="157" spans="1:27" s="4" customFormat="1" ht="51.95" customHeight="1">
      <c r="A157" s="5">
        <v>0</v>
      </c>
      <c r="B157" s="6" t="s">
        <v>1085</v>
      </c>
      <c r="C157" s="7">
        <v>760</v>
      </c>
      <c r="D157" s="8" t="s">
        <v>1086</v>
      </c>
      <c r="E157" s="8" t="s">
        <v>988</v>
      </c>
      <c r="F157" s="8" t="s">
        <v>1076</v>
      </c>
      <c r="G157" s="6" t="s">
        <v>92</v>
      </c>
      <c r="H157" s="6" t="s">
        <v>38</v>
      </c>
      <c r="I157" s="8" t="s">
        <v>53</v>
      </c>
      <c r="J157" s="9">
        <v>1</v>
      </c>
      <c r="K157" s="9">
        <v>199</v>
      </c>
      <c r="L157" s="9">
        <v>2021</v>
      </c>
      <c r="M157" s="8" t="s">
        <v>1087</v>
      </c>
      <c r="N157" s="8" t="s">
        <v>41</v>
      </c>
      <c r="O157" s="8" t="s">
        <v>42</v>
      </c>
      <c r="P157" s="6" t="s">
        <v>43</v>
      </c>
      <c r="Q157" s="8" t="s">
        <v>56</v>
      </c>
      <c r="R157" s="10" t="s">
        <v>327</v>
      </c>
      <c r="S157" s="11" t="s">
        <v>1083</v>
      </c>
      <c r="T157" s="6"/>
      <c r="U157" s="27" t="str">
        <f>HYPERLINK("https://media.infra-m.ru/1242/1242890/cover/1242890.jpg", "Обложка")</f>
        <v>Обложка</v>
      </c>
      <c r="V157" s="27" t="str">
        <f>HYPERLINK("https://znanium.com/catalog/product/2067373", "Ознакомиться")</f>
        <v>Ознакомиться</v>
      </c>
      <c r="W157" s="8" t="s">
        <v>329</v>
      </c>
      <c r="X157" s="6"/>
      <c r="Y157" s="6"/>
      <c r="Z157" s="6" t="s">
        <v>945</v>
      </c>
      <c r="AA157" s="6" t="s">
        <v>299</v>
      </c>
    </row>
    <row r="158" spans="1:27" s="4" customFormat="1" ht="51.95" customHeight="1">
      <c r="A158" s="5">
        <v>0</v>
      </c>
      <c r="B158" s="6" t="s">
        <v>1088</v>
      </c>
      <c r="C158" s="13">
        <v>1080</v>
      </c>
      <c r="D158" s="8" t="s">
        <v>1089</v>
      </c>
      <c r="E158" s="8" t="s">
        <v>1056</v>
      </c>
      <c r="F158" s="8" t="s">
        <v>1090</v>
      </c>
      <c r="G158" s="6" t="s">
        <v>37</v>
      </c>
      <c r="H158" s="6" t="s">
        <v>38</v>
      </c>
      <c r="I158" s="8" t="s">
        <v>132</v>
      </c>
      <c r="J158" s="9">
        <v>1</v>
      </c>
      <c r="K158" s="9">
        <v>233</v>
      </c>
      <c r="L158" s="9">
        <v>2024</v>
      </c>
      <c r="M158" s="8" t="s">
        <v>1091</v>
      </c>
      <c r="N158" s="8" t="s">
        <v>41</v>
      </c>
      <c r="O158" s="8" t="s">
        <v>42</v>
      </c>
      <c r="P158" s="6" t="s">
        <v>43</v>
      </c>
      <c r="Q158" s="8" t="s">
        <v>75</v>
      </c>
      <c r="R158" s="10" t="s">
        <v>1092</v>
      </c>
      <c r="S158" s="11" t="s">
        <v>1093</v>
      </c>
      <c r="T158" s="6" t="s">
        <v>59</v>
      </c>
      <c r="U158" s="27" t="str">
        <f>HYPERLINK("https://media.infra-m.ru/1913/1913238/cover/1913238.jpg", "Обложка")</f>
        <v>Обложка</v>
      </c>
      <c r="V158" s="27" t="str">
        <f>HYPERLINK("https://znanium.com/catalog/product/1913238", "Ознакомиться")</f>
        <v>Ознакомиться</v>
      </c>
      <c r="W158" s="8" t="s">
        <v>984</v>
      </c>
      <c r="X158" s="6"/>
      <c r="Y158" s="6"/>
      <c r="Z158" s="6"/>
      <c r="AA158" s="6" t="s">
        <v>1094</v>
      </c>
    </row>
    <row r="159" spans="1:27" s="4" customFormat="1" ht="42" customHeight="1">
      <c r="A159" s="5">
        <v>0</v>
      </c>
      <c r="B159" s="6" t="s">
        <v>1095</v>
      </c>
      <c r="C159" s="7">
        <v>434.9</v>
      </c>
      <c r="D159" s="8" t="s">
        <v>1096</v>
      </c>
      <c r="E159" s="8" t="s">
        <v>1056</v>
      </c>
      <c r="F159" s="8" t="s">
        <v>1097</v>
      </c>
      <c r="G159" s="6" t="s">
        <v>119</v>
      </c>
      <c r="H159" s="6" t="s">
        <v>209</v>
      </c>
      <c r="I159" s="8" t="s">
        <v>1098</v>
      </c>
      <c r="J159" s="9">
        <v>1</v>
      </c>
      <c r="K159" s="9">
        <v>223</v>
      </c>
      <c r="L159" s="9">
        <v>2018</v>
      </c>
      <c r="M159" s="8" t="s">
        <v>1099</v>
      </c>
      <c r="N159" s="8" t="s">
        <v>41</v>
      </c>
      <c r="O159" s="8" t="s">
        <v>42</v>
      </c>
      <c r="P159" s="6" t="s">
        <v>43</v>
      </c>
      <c r="Q159" s="8" t="s">
        <v>75</v>
      </c>
      <c r="R159" s="10" t="s">
        <v>1100</v>
      </c>
      <c r="S159" s="11"/>
      <c r="T159" s="6"/>
      <c r="U159" s="27" t="str">
        <f>HYPERLINK("https://media.infra-m.ru/0982/0982633/cover/982633.jpg", "Обложка")</f>
        <v>Обложка</v>
      </c>
      <c r="V159" s="27" t="str">
        <f>HYPERLINK("https://znanium.com/catalog/product/982633", "Ознакомиться")</f>
        <v>Ознакомиться</v>
      </c>
      <c r="W159" s="8" t="s">
        <v>1101</v>
      </c>
      <c r="X159" s="6"/>
      <c r="Y159" s="6"/>
      <c r="Z159" s="6"/>
      <c r="AA159" s="6" t="s">
        <v>1102</v>
      </c>
    </row>
    <row r="160" spans="1:27" s="4" customFormat="1" ht="51.95" customHeight="1">
      <c r="A160" s="5">
        <v>0</v>
      </c>
      <c r="B160" s="6" t="s">
        <v>1103</v>
      </c>
      <c r="C160" s="13">
        <v>1080</v>
      </c>
      <c r="D160" s="8" t="s">
        <v>1104</v>
      </c>
      <c r="E160" s="8" t="s">
        <v>988</v>
      </c>
      <c r="F160" s="8" t="s">
        <v>1032</v>
      </c>
      <c r="G160" s="6" t="s">
        <v>92</v>
      </c>
      <c r="H160" s="6" t="s">
        <v>209</v>
      </c>
      <c r="I160" s="8" t="s">
        <v>257</v>
      </c>
      <c r="J160" s="9">
        <v>1</v>
      </c>
      <c r="K160" s="9">
        <v>240</v>
      </c>
      <c r="L160" s="9">
        <v>2023</v>
      </c>
      <c r="M160" s="8" t="s">
        <v>1105</v>
      </c>
      <c r="N160" s="8" t="s">
        <v>41</v>
      </c>
      <c r="O160" s="8" t="s">
        <v>42</v>
      </c>
      <c r="P160" s="6" t="s">
        <v>43</v>
      </c>
      <c r="Q160" s="8" t="s">
        <v>75</v>
      </c>
      <c r="R160" s="10" t="s">
        <v>1059</v>
      </c>
      <c r="S160" s="11"/>
      <c r="T160" s="6"/>
      <c r="U160" s="27" t="str">
        <f>HYPERLINK("https://media.infra-m.ru/1977/1977087/cover/1977087.jpg", "Обложка")</f>
        <v>Обложка</v>
      </c>
      <c r="V160" s="12"/>
      <c r="W160" s="8"/>
      <c r="X160" s="6"/>
      <c r="Y160" s="6"/>
      <c r="Z160" s="6"/>
      <c r="AA160" s="6" t="s">
        <v>126</v>
      </c>
    </row>
    <row r="161" spans="1:27" s="4" customFormat="1" ht="42" customHeight="1">
      <c r="A161" s="5">
        <v>0</v>
      </c>
      <c r="B161" s="6" t="s">
        <v>1106</v>
      </c>
      <c r="C161" s="7">
        <v>29.9</v>
      </c>
      <c r="D161" s="8" t="s">
        <v>1107</v>
      </c>
      <c r="E161" s="8" t="s">
        <v>988</v>
      </c>
      <c r="F161" s="8"/>
      <c r="G161" s="6"/>
      <c r="H161" s="6" t="s">
        <v>209</v>
      </c>
      <c r="I161" s="8" t="s">
        <v>1108</v>
      </c>
      <c r="J161" s="9">
        <v>100</v>
      </c>
      <c r="K161" s="9">
        <v>50</v>
      </c>
      <c r="L161" s="9">
        <v>2016</v>
      </c>
      <c r="M161" s="8" t="s">
        <v>1109</v>
      </c>
      <c r="N161" s="8" t="s">
        <v>41</v>
      </c>
      <c r="O161" s="8" t="s">
        <v>42</v>
      </c>
      <c r="P161" s="6" t="s">
        <v>467</v>
      </c>
      <c r="Q161" s="8" t="s">
        <v>75</v>
      </c>
      <c r="R161" s="10"/>
      <c r="S161" s="11"/>
      <c r="T161" s="6"/>
      <c r="U161" s="27" t="str">
        <f>HYPERLINK("https://media.infra-m.ru/0460/0460146/cover/460146.jpg", "Обложка")</f>
        <v>Обложка</v>
      </c>
      <c r="V161" s="12"/>
      <c r="W161" s="8"/>
      <c r="X161" s="6"/>
      <c r="Y161" s="6"/>
      <c r="Z161" s="6"/>
      <c r="AA161" s="6" t="s">
        <v>469</v>
      </c>
    </row>
    <row r="162" spans="1:27" s="4" customFormat="1" ht="51.95" customHeight="1">
      <c r="A162" s="5">
        <v>0</v>
      </c>
      <c r="B162" s="6" t="s">
        <v>1110</v>
      </c>
      <c r="C162" s="13">
        <v>1034</v>
      </c>
      <c r="D162" s="8" t="s">
        <v>1111</v>
      </c>
      <c r="E162" s="8" t="s">
        <v>1112</v>
      </c>
      <c r="F162" s="8" t="s">
        <v>110</v>
      </c>
      <c r="G162" s="6" t="s">
        <v>37</v>
      </c>
      <c r="H162" s="6" t="s">
        <v>38</v>
      </c>
      <c r="I162" s="8" t="s">
        <v>73</v>
      </c>
      <c r="J162" s="9">
        <v>1</v>
      </c>
      <c r="K162" s="9">
        <v>225</v>
      </c>
      <c r="L162" s="9">
        <v>2023</v>
      </c>
      <c r="M162" s="8" t="s">
        <v>1113</v>
      </c>
      <c r="N162" s="8" t="s">
        <v>41</v>
      </c>
      <c r="O162" s="8" t="s">
        <v>42</v>
      </c>
      <c r="P162" s="6" t="s">
        <v>43</v>
      </c>
      <c r="Q162" s="8" t="s">
        <v>75</v>
      </c>
      <c r="R162" s="10" t="s">
        <v>1114</v>
      </c>
      <c r="S162" s="11" t="s">
        <v>1115</v>
      </c>
      <c r="T162" s="6"/>
      <c r="U162" s="27" t="str">
        <f>HYPERLINK("https://media.infra-m.ru/1941/1941720/cover/1941720.jpg", "Обложка")</f>
        <v>Обложка</v>
      </c>
      <c r="V162" s="27" t="str">
        <f>HYPERLINK("https://znanium.com/catalog/product/1893652", "Ознакомиться")</f>
        <v>Ознакомиться</v>
      </c>
      <c r="W162" s="8" t="s">
        <v>105</v>
      </c>
      <c r="X162" s="6"/>
      <c r="Y162" s="6"/>
      <c r="Z162" s="6"/>
      <c r="AA162" s="6" t="s">
        <v>222</v>
      </c>
    </row>
    <row r="163" spans="1:27" s="4" customFormat="1" ht="51.95" customHeight="1">
      <c r="A163" s="5">
        <v>0</v>
      </c>
      <c r="B163" s="6" t="s">
        <v>1116</v>
      </c>
      <c r="C163" s="13">
        <v>1334.9</v>
      </c>
      <c r="D163" s="8" t="s">
        <v>1117</v>
      </c>
      <c r="E163" s="8" t="s">
        <v>1118</v>
      </c>
      <c r="F163" s="8" t="s">
        <v>1119</v>
      </c>
      <c r="G163" s="6" t="s">
        <v>92</v>
      </c>
      <c r="H163" s="6" t="s">
        <v>1120</v>
      </c>
      <c r="I163" s="8"/>
      <c r="J163" s="9">
        <v>1</v>
      </c>
      <c r="K163" s="9">
        <v>392</v>
      </c>
      <c r="L163" s="9">
        <v>2020</v>
      </c>
      <c r="M163" s="8" t="s">
        <v>1121</v>
      </c>
      <c r="N163" s="8" t="s">
        <v>41</v>
      </c>
      <c r="O163" s="8" t="s">
        <v>42</v>
      </c>
      <c r="P163" s="6" t="s">
        <v>43</v>
      </c>
      <c r="Q163" s="8" t="s">
        <v>75</v>
      </c>
      <c r="R163" s="10" t="s">
        <v>1122</v>
      </c>
      <c r="S163" s="11" t="s">
        <v>1123</v>
      </c>
      <c r="T163" s="6"/>
      <c r="U163" s="27" t="str">
        <f>HYPERLINK("https://media.infra-m.ru/1054/1054208/cover/1054208.jpg", "Обложка")</f>
        <v>Обложка</v>
      </c>
      <c r="V163" s="27" t="str">
        <f>HYPERLINK("https://znanium.com/catalog/product/1484176", "Ознакомиться")</f>
        <v>Ознакомиться</v>
      </c>
      <c r="W163" s="8" t="s">
        <v>1124</v>
      </c>
      <c r="X163" s="6"/>
      <c r="Y163" s="6"/>
      <c r="Z163" s="6"/>
      <c r="AA163" s="6" t="s">
        <v>166</v>
      </c>
    </row>
    <row r="164" spans="1:27" s="4" customFormat="1" ht="51.95" customHeight="1">
      <c r="A164" s="5">
        <v>0</v>
      </c>
      <c r="B164" s="6" t="s">
        <v>1125</v>
      </c>
      <c r="C164" s="13">
        <v>1224.9000000000001</v>
      </c>
      <c r="D164" s="8" t="s">
        <v>1126</v>
      </c>
      <c r="E164" s="8" t="s">
        <v>1127</v>
      </c>
      <c r="F164" s="8" t="s">
        <v>1128</v>
      </c>
      <c r="G164" s="6" t="s">
        <v>119</v>
      </c>
      <c r="H164" s="6" t="s">
        <v>93</v>
      </c>
      <c r="I164" s="8"/>
      <c r="J164" s="9">
        <v>1</v>
      </c>
      <c r="K164" s="9">
        <v>272</v>
      </c>
      <c r="L164" s="9">
        <v>2023</v>
      </c>
      <c r="M164" s="8" t="s">
        <v>1129</v>
      </c>
      <c r="N164" s="8" t="s">
        <v>41</v>
      </c>
      <c r="O164" s="8" t="s">
        <v>42</v>
      </c>
      <c r="P164" s="6" t="s">
        <v>122</v>
      </c>
      <c r="Q164" s="8" t="s">
        <v>123</v>
      </c>
      <c r="R164" s="10" t="s">
        <v>1130</v>
      </c>
      <c r="S164" s="11"/>
      <c r="T164" s="6"/>
      <c r="U164" s="27" t="str">
        <f>HYPERLINK("https://media.infra-m.ru/1981/1981695/cover/1981695.jpg", "Обложка")</f>
        <v>Обложка</v>
      </c>
      <c r="V164" s="27" t="str">
        <f>HYPERLINK("https://znanium.com/catalog/product/1233658", "Ознакомиться")</f>
        <v>Ознакомиться</v>
      </c>
      <c r="W164" s="8" t="s">
        <v>149</v>
      </c>
      <c r="X164" s="6"/>
      <c r="Y164" s="6"/>
      <c r="Z164" s="6"/>
      <c r="AA164" s="6" t="s">
        <v>114</v>
      </c>
    </row>
    <row r="165" spans="1:27" s="4" customFormat="1" ht="51.95" customHeight="1">
      <c r="A165" s="5">
        <v>0</v>
      </c>
      <c r="B165" s="6" t="s">
        <v>1131</v>
      </c>
      <c r="C165" s="7">
        <v>900</v>
      </c>
      <c r="D165" s="8" t="s">
        <v>1132</v>
      </c>
      <c r="E165" s="8" t="s">
        <v>1133</v>
      </c>
      <c r="F165" s="8" t="s">
        <v>1134</v>
      </c>
      <c r="G165" s="6" t="s">
        <v>119</v>
      </c>
      <c r="H165" s="6" t="s">
        <v>38</v>
      </c>
      <c r="I165" s="8" t="s">
        <v>132</v>
      </c>
      <c r="J165" s="9">
        <v>1</v>
      </c>
      <c r="K165" s="9">
        <v>200</v>
      </c>
      <c r="L165" s="9">
        <v>2024</v>
      </c>
      <c r="M165" s="8" t="s">
        <v>1135</v>
      </c>
      <c r="N165" s="8" t="s">
        <v>41</v>
      </c>
      <c r="O165" s="8" t="s">
        <v>42</v>
      </c>
      <c r="P165" s="6" t="s">
        <v>43</v>
      </c>
      <c r="Q165" s="8" t="s">
        <v>75</v>
      </c>
      <c r="R165" s="10" t="s">
        <v>1136</v>
      </c>
      <c r="S165" s="11" t="s">
        <v>1137</v>
      </c>
      <c r="T165" s="6"/>
      <c r="U165" s="27" t="str">
        <f>HYPERLINK("https://media.infra-m.ru/2054/2054987/cover/2054987.jpg", "Обложка")</f>
        <v>Обложка</v>
      </c>
      <c r="V165" s="27" t="str">
        <f>HYPERLINK("https://znanium.com/catalog/product/2054987", "Ознакомиться")</f>
        <v>Ознакомиться</v>
      </c>
      <c r="W165" s="8" t="s">
        <v>149</v>
      </c>
      <c r="X165" s="6"/>
      <c r="Y165" s="6"/>
      <c r="Z165" s="6"/>
      <c r="AA165" s="6" t="s">
        <v>1138</v>
      </c>
    </row>
    <row r="166" spans="1:27" s="4" customFormat="1" ht="51.95" customHeight="1">
      <c r="A166" s="5">
        <v>0</v>
      </c>
      <c r="B166" s="6" t="s">
        <v>1139</v>
      </c>
      <c r="C166" s="13">
        <v>1554</v>
      </c>
      <c r="D166" s="8" t="s">
        <v>1140</v>
      </c>
      <c r="E166" s="8" t="s">
        <v>1141</v>
      </c>
      <c r="F166" s="8" t="s">
        <v>1142</v>
      </c>
      <c r="G166" s="6" t="s">
        <v>119</v>
      </c>
      <c r="H166" s="6" t="s">
        <v>161</v>
      </c>
      <c r="I166" s="8" t="s">
        <v>257</v>
      </c>
      <c r="J166" s="9">
        <v>1</v>
      </c>
      <c r="K166" s="9">
        <v>336</v>
      </c>
      <c r="L166" s="9">
        <v>2024</v>
      </c>
      <c r="M166" s="8" t="s">
        <v>1143</v>
      </c>
      <c r="N166" s="8" t="s">
        <v>41</v>
      </c>
      <c r="O166" s="8" t="s">
        <v>42</v>
      </c>
      <c r="P166" s="6" t="s">
        <v>43</v>
      </c>
      <c r="Q166" s="8" t="s">
        <v>56</v>
      </c>
      <c r="R166" s="10" t="s">
        <v>1144</v>
      </c>
      <c r="S166" s="11" t="s">
        <v>1145</v>
      </c>
      <c r="T166" s="6"/>
      <c r="U166" s="27" t="str">
        <f>HYPERLINK("https://media.infra-m.ru/2058/2058763/cover/2058763.jpg", "Обложка")</f>
        <v>Обложка</v>
      </c>
      <c r="V166" s="27" t="str">
        <f>HYPERLINK("https://znanium.com/catalog/product/1068858", "Ознакомиться")</f>
        <v>Ознакомиться</v>
      </c>
      <c r="W166" s="8" t="s">
        <v>338</v>
      </c>
      <c r="X166" s="6"/>
      <c r="Y166" s="6"/>
      <c r="Z166" s="6"/>
      <c r="AA166" s="6" t="s">
        <v>602</v>
      </c>
    </row>
    <row r="167" spans="1:27" s="4" customFormat="1" ht="51.95" customHeight="1">
      <c r="A167" s="5">
        <v>0</v>
      </c>
      <c r="B167" s="6" t="s">
        <v>1146</v>
      </c>
      <c r="C167" s="7">
        <v>254.9</v>
      </c>
      <c r="D167" s="8" t="s">
        <v>1147</v>
      </c>
      <c r="E167" s="8" t="s">
        <v>1148</v>
      </c>
      <c r="F167" s="8" t="s">
        <v>1149</v>
      </c>
      <c r="G167" s="6" t="s">
        <v>119</v>
      </c>
      <c r="H167" s="6" t="s">
        <v>52</v>
      </c>
      <c r="I167" s="8"/>
      <c r="J167" s="9">
        <v>1</v>
      </c>
      <c r="K167" s="9">
        <v>58</v>
      </c>
      <c r="L167" s="9">
        <v>2021</v>
      </c>
      <c r="M167" s="8" t="s">
        <v>1150</v>
      </c>
      <c r="N167" s="8" t="s">
        <v>41</v>
      </c>
      <c r="O167" s="8" t="s">
        <v>42</v>
      </c>
      <c r="P167" s="6" t="s">
        <v>43</v>
      </c>
      <c r="Q167" s="8" t="s">
        <v>75</v>
      </c>
      <c r="R167" s="10" t="s">
        <v>918</v>
      </c>
      <c r="S167" s="11"/>
      <c r="T167" s="6"/>
      <c r="U167" s="27" t="str">
        <f>HYPERLINK("https://media.infra-m.ru/1290/1290482/cover/1290482.jpg", "Обложка")</f>
        <v>Обложка</v>
      </c>
      <c r="V167" s="27" t="str">
        <f>HYPERLINK("https://znanium.com/catalog/product/1290482", "Ознакомиться")</f>
        <v>Ознакомиться</v>
      </c>
      <c r="W167" s="8" t="s">
        <v>642</v>
      </c>
      <c r="X167" s="6"/>
      <c r="Y167" s="6"/>
      <c r="Z167" s="6"/>
      <c r="AA167" s="6" t="s">
        <v>213</v>
      </c>
    </row>
    <row r="168" spans="1:27" s="4" customFormat="1" ht="51.95" customHeight="1">
      <c r="A168" s="5">
        <v>0</v>
      </c>
      <c r="B168" s="6" t="s">
        <v>1151</v>
      </c>
      <c r="C168" s="13">
        <v>1660</v>
      </c>
      <c r="D168" s="8" t="s">
        <v>1152</v>
      </c>
      <c r="E168" s="8" t="s">
        <v>1153</v>
      </c>
      <c r="F168" s="8" t="s">
        <v>1154</v>
      </c>
      <c r="G168" s="6" t="s">
        <v>37</v>
      </c>
      <c r="H168" s="6" t="s">
        <v>52</v>
      </c>
      <c r="I168" s="8"/>
      <c r="J168" s="9">
        <v>1</v>
      </c>
      <c r="K168" s="9">
        <v>368</v>
      </c>
      <c r="L168" s="9">
        <v>2024</v>
      </c>
      <c r="M168" s="8" t="s">
        <v>1155</v>
      </c>
      <c r="N168" s="8" t="s">
        <v>41</v>
      </c>
      <c r="O168" s="8" t="s">
        <v>42</v>
      </c>
      <c r="P168" s="6" t="s">
        <v>43</v>
      </c>
      <c r="Q168" s="8" t="s">
        <v>75</v>
      </c>
      <c r="R168" s="10" t="s">
        <v>760</v>
      </c>
      <c r="S168" s="11" t="s">
        <v>1156</v>
      </c>
      <c r="T168" s="6"/>
      <c r="U168" s="27" t="str">
        <f>HYPERLINK("https://media.infra-m.ru/2055/2055828/cover/2055828.jpg", "Обложка")</f>
        <v>Обложка</v>
      </c>
      <c r="V168" s="27" t="str">
        <f>HYPERLINK("https://znanium.com/catalog/product/1058467", "Ознакомиться")</f>
        <v>Ознакомиться</v>
      </c>
      <c r="W168" s="8" t="s">
        <v>1157</v>
      </c>
      <c r="X168" s="6"/>
      <c r="Y168" s="6"/>
      <c r="Z168" s="6"/>
      <c r="AA168" s="6" t="s">
        <v>87</v>
      </c>
    </row>
    <row r="169" spans="1:27" s="4" customFormat="1" ht="51.95" customHeight="1">
      <c r="A169" s="5">
        <v>0</v>
      </c>
      <c r="B169" s="6" t="s">
        <v>1158</v>
      </c>
      <c r="C169" s="7">
        <v>394.9</v>
      </c>
      <c r="D169" s="8" t="s">
        <v>1159</v>
      </c>
      <c r="E169" s="8" t="s">
        <v>1160</v>
      </c>
      <c r="F169" s="8" t="s">
        <v>1161</v>
      </c>
      <c r="G169" s="6" t="s">
        <v>119</v>
      </c>
      <c r="H169" s="6" t="s">
        <v>209</v>
      </c>
      <c r="I169" s="8" t="s">
        <v>73</v>
      </c>
      <c r="J169" s="9">
        <v>1</v>
      </c>
      <c r="K169" s="9">
        <v>88</v>
      </c>
      <c r="L169" s="9">
        <v>2023</v>
      </c>
      <c r="M169" s="8" t="s">
        <v>1162</v>
      </c>
      <c r="N169" s="8" t="s">
        <v>41</v>
      </c>
      <c r="O169" s="8" t="s">
        <v>42</v>
      </c>
      <c r="P169" s="6" t="s">
        <v>43</v>
      </c>
      <c r="Q169" s="8" t="s">
        <v>75</v>
      </c>
      <c r="R169" s="10" t="s">
        <v>1163</v>
      </c>
      <c r="S169" s="11" t="s">
        <v>1164</v>
      </c>
      <c r="T169" s="6"/>
      <c r="U169" s="27" t="str">
        <f>HYPERLINK("https://media.infra-m.ru/1897/1897686/cover/1897686.jpg", "Обложка")</f>
        <v>Обложка</v>
      </c>
      <c r="V169" s="27" t="str">
        <f>HYPERLINK("https://znanium.com/catalog/product/925815", "Ознакомиться")</f>
        <v>Ознакомиться</v>
      </c>
      <c r="W169" s="8" t="s">
        <v>1165</v>
      </c>
      <c r="X169" s="6"/>
      <c r="Y169" s="6"/>
      <c r="Z169" s="6"/>
      <c r="AA169" s="6" t="s">
        <v>106</v>
      </c>
    </row>
    <row r="170" spans="1:27" s="4" customFormat="1" ht="51.95" customHeight="1">
      <c r="A170" s="5">
        <v>0</v>
      </c>
      <c r="B170" s="6" t="s">
        <v>1166</v>
      </c>
      <c r="C170" s="7">
        <v>570</v>
      </c>
      <c r="D170" s="8" t="s">
        <v>1167</v>
      </c>
      <c r="E170" s="8" t="s">
        <v>1168</v>
      </c>
      <c r="F170" s="8" t="s">
        <v>1169</v>
      </c>
      <c r="G170" s="6" t="s">
        <v>119</v>
      </c>
      <c r="H170" s="6" t="s">
        <v>209</v>
      </c>
      <c r="I170" s="8" t="s">
        <v>120</v>
      </c>
      <c r="J170" s="9">
        <v>1</v>
      </c>
      <c r="K170" s="9">
        <v>160</v>
      </c>
      <c r="L170" s="9">
        <v>2020</v>
      </c>
      <c r="M170" s="8" t="s">
        <v>1170</v>
      </c>
      <c r="N170" s="8" t="s">
        <v>41</v>
      </c>
      <c r="O170" s="8" t="s">
        <v>42</v>
      </c>
      <c r="P170" s="6" t="s">
        <v>122</v>
      </c>
      <c r="Q170" s="8" t="s">
        <v>186</v>
      </c>
      <c r="R170" s="10" t="s">
        <v>1171</v>
      </c>
      <c r="S170" s="11"/>
      <c r="T170" s="6" t="s">
        <v>59</v>
      </c>
      <c r="U170" s="27" t="str">
        <f>HYPERLINK("https://media.infra-m.ru/1047/1047091/cover/1047091.jpg", "Обложка")</f>
        <v>Обложка</v>
      </c>
      <c r="V170" s="27" t="str">
        <f>HYPERLINK("https://znanium.com/catalog/product/1047091", "Ознакомиться")</f>
        <v>Ознакомиться</v>
      </c>
      <c r="W170" s="8" t="s">
        <v>195</v>
      </c>
      <c r="X170" s="6"/>
      <c r="Y170" s="6"/>
      <c r="Z170" s="6"/>
      <c r="AA170" s="6" t="s">
        <v>106</v>
      </c>
    </row>
    <row r="171" spans="1:27" s="4" customFormat="1" ht="51.95" customHeight="1">
      <c r="A171" s="5">
        <v>0</v>
      </c>
      <c r="B171" s="6" t="s">
        <v>1172</v>
      </c>
      <c r="C171" s="13">
        <v>1764</v>
      </c>
      <c r="D171" s="8" t="s">
        <v>1173</v>
      </c>
      <c r="E171" s="8" t="s">
        <v>1174</v>
      </c>
      <c r="F171" s="8" t="s">
        <v>1175</v>
      </c>
      <c r="G171" s="6" t="s">
        <v>92</v>
      </c>
      <c r="H171" s="6" t="s">
        <v>52</v>
      </c>
      <c r="I171" s="8"/>
      <c r="J171" s="9">
        <v>1</v>
      </c>
      <c r="K171" s="9">
        <v>384</v>
      </c>
      <c r="L171" s="9">
        <v>2023</v>
      </c>
      <c r="M171" s="8" t="s">
        <v>1176</v>
      </c>
      <c r="N171" s="8" t="s">
        <v>41</v>
      </c>
      <c r="O171" s="8" t="s">
        <v>42</v>
      </c>
      <c r="P171" s="6" t="s">
        <v>55</v>
      </c>
      <c r="Q171" s="8" t="s">
        <v>75</v>
      </c>
      <c r="R171" s="10" t="s">
        <v>1177</v>
      </c>
      <c r="S171" s="11" t="s">
        <v>1178</v>
      </c>
      <c r="T171" s="6"/>
      <c r="U171" s="27" t="str">
        <f>HYPERLINK("https://media.infra-m.ru/1913/1913845/cover/1913845.jpg", "Обложка")</f>
        <v>Обложка</v>
      </c>
      <c r="V171" s="27" t="str">
        <f>HYPERLINK("https://znanium.com/catalog/product/1839949", "Ознакомиться")</f>
        <v>Ознакомиться</v>
      </c>
      <c r="W171" s="8" t="s">
        <v>125</v>
      </c>
      <c r="X171" s="6"/>
      <c r="Y171" s="6"/>
      <c r="Z171" s="6"/>
      <c r="AA171" s="6" t="s">
        <v>47</v>
      </c>
    </row>
    <row r="172" spans="1:27" s="4" customFormat="1" ht="51.95" customHeight="1">
      <c r="A172" s="5">
        <v>0</v>
      </c>
      <c r="B172" s="6" t="s">
        <v>1179</v>
      </c>
      <c r="C172" s="13">
        <v>1060</v>
      </c>
      <c r="D172" s="8" t="s">
        <v>1180</v>
      </c>
      <c r="E172" s="8" t="s">
        <v>1174</v>
      </c>
      <c r="F172" s="8" t="s">
        <v>1181</v>
      </c>
      <c r="G172" s="6" t="s">
        <v>92</v>
      </c>
      <c r="H172" s="6" t="s">
        <v>38</v>
      </c>
      <c r="I172" s="8" t="s">
        <v>53</v>
      </c>
      <c r="J172" s="9">
        <v>1</v>
      </c>
      <c r="K172" s="9">
        <v>294</v>
      </c>
      <c r="L172" s="9">
        <v>2021</v>
      </c>
      <c r="M172" s="8" t="s">
        <v>1182</v>
      </c>
      <c r="N172" s="8" t="s">
        <v>41</v>
      </c>
      <c r="O172" s="8" t="s">
        <v>42</v>
      </c>
      <c r="P172" s="6" t="s">
        <v>55</v>
      </c>
      <c r="Q172" s="8" t="s">
        <v>56</v>
      </c>
      <c r="R172" s="10" t="s">
        <v>228</v>
      </c>
      <c r="S172" s="11" t="s">
        <v>1183</v>
      </c>
      <c r="T172" s="6"/>
      <c r="U172" s="27" t="str">
        <f>HYPERLINK("https://media.infra-m.ru/1127/1127684/cover/1127684.jpg", "Обложка")</f>
        <v>Обложка</v>
      </c>
      <c r="V172" s="27" t="str">
        <f>HYPERLINK("https://znanium.com/catalog/product/1127684", "Ознакомиться")</f>
        <v>Ознакомиться</v>
      </c>
      <c r="W172" s="8" t="s">
        <v>830</v>
      </c>
      <c r="X172" s="6"/>
      <c r="Y172" s="6"/>
      <c r="Z172" s="6" t="s">
        <v>60</v>
      </c>
      <c r="AA172" s="6" t="s">
        <v>299</v>
      </c>
    </row>
    <row r="173" spans="1:27" s="4" customFormat="1" ht="51.95" customHeight="1">
      <c r="A173" s="5">
        <v>0</v>
      </c>
      <c r="B173" s="6" t="s">
        <v>1184</v>
      </c>
      <c r="C173" s="13">
        <v>1320</v>
      </c>
      <c r="D173" s="8" t="s">
        <v>1185</v>
      </c>
      <c r="E173" s="8" t="s">
        <v>1174</v>
      </c>
      <c r="F173" s="8" t="s">
        <v>1181</v>
      </c>
      <c r="G173" s="6" t="s">
        <v>37</v>
      </c>
      <c r="H173" s="6" t="s">
        <v>38</v>
      </c>
      <c r="I173" s="8" t="s">
        <v>73</v>
      </c>
      <c r="J173" s="9">
        <v>1</v>
      </c>
      <c r="K173" s="9">
        <v>294</v>
      </c>
      <c r="L173" s="9">
        <v>2023</v>
      </c>
      <c r="M173" s="8" t="s">
        <v>1186</v>
      </c>
      <c r="N173" s="8" t="s">
        <v>41</v>
      </c>
      <c r="O173" s="8" t="s">
        <v>42</v>
      </c>
      <c r="P173" s="6" t="s">
        <v>55</v>
      </c>
      <c r="Q173" s="8" t="s">
        <v>75</v>
      </c>
      <c r="R173" s="10" t="s">
        <v>228</v>
      </c>
      <c r="S173" s="11" t="s">
        <v>1187</v>
      </c>
      <c r="T173" s="6"/>
      <c r="U173" s="27" t="str">
        <f>HYPERLINK("https://media.infra-m.ru/1933/1933163/cover/1933163.jpg", "Обложка")</f>
        <v>Обложка</v>
      </c>
      <c r="V173" s="27" t="str">
        <f>HYPERLINK("https://znanium.com/catalog/product/1933163", "Ознакомиться")</f>
        <v>Ознакомиться</v>
      </c>
      <c r="W173" s="8" t="s">
        <v>830</v>
      </c>
      <c r="X173" s="6"/>
      <c r="Y173" s="6"/>
      <c r="Z173" s="6"/>
      <c r="AA173" s="6" t="s">
        <v>382</v>
      </c>
    </row>
    <row r="174" spans="1:27" s="4" customFormat="1" ht="51.95" customHeight="1">
      <c r="A174" s="5">
        <v>0</v>
      </c>
      <c r="B174" s="6" t="s">
        <v>1188</v>
      </c>
      <c r="C174" s="13">
        <v>1224.9000000000001</v>
      </c>
      <c r="D174" s="8" t="s">
        <v>1189</v>
      </c>
      <c r="E174" s="8" t="s">
        <v>1174</v>
      </c>
      <c r="F174" s="8" t="s">
        <v>1190</v>
      </c>
      <c r="G174" s="6" t="s">
        <v>92</v>
      </c>
      <c r="H174" s="6" t="s">
        <v>717</v>
      </c>
      <c r="I174" s="8" t="s">
        <v>132</v>
      </c>
      <c r="J174" s="9">
        <v>1</v>
      </c>
      <c r="K174" s="9">
        <v>272</v>
      </c>
      <c r="L174" s="9">
        <v>2023</v>
      </c>
      <c r="M174" s="8" t="s">
        <v>1191</v>
      </c>
      <c r="N174" s="8" t="s">
        <v>41</v>
      </c>
      <c r="O174" s="8" t="s">
        <v>42</v>
      </c>
      <c r="P174" s="6" t="s">
        <v>55</v>
      </c>
      <c r="Q174" s="8" t="s">
        <v>75</v>
      </c>
      <c r="R174" s="10" t="s">
        <v>1192</v>
      </c>
      <c r="S174" s="11" t="s">
        <v>1193</v>
      </c>
      <c r="T174" s="6"/>
      <c r="U174" s="27" t="str">
        <f>HYPERLINK("https://media.infra-m.ru/1930/1930706/cover/1930706.jpg", "Обложка")</f>
        <v>Обложка</v>
      </c>
      <c r="V174" s="27" t="str">
        <f>HYPERLINK("https://znanium.com/catalog/product/920502", "Ознакомиться")</f>
        <v>Ознакомиться</v>
      </c>
      <c r="W174" s="8" t="s">
        <v>1194</v>
      </c>
      <c r="X174" s="6"/>
      <c r="Y174" s="6"/>
      <c r="Z174" s="6"/>
      <c r="AA174" s="6" t="s">
        <v>150</v>
      </c>
    </row>
    <row r="175" spans="1:27" s="4" customFormat="1" ht="51.95" customHeight="1">
      <c r="A175" s="5">
        <v>0</v>
      </c>
      <c r="B175" s="6" t="s">
        <v>1195</v>
      </c>
      <c r="C175" s="13">
        <v>1080</v>
      </c>
      <c r="D175" s="8" t="s">
        <v>1196</v>
      </c>
      <c r="E175" s="8" t="s">
        <v>1197</v>
      </c>
      <c r="F175" s="8" t="s">
        <v>1198</v>
      </c>
      <c r="G175" s="6" t="s">
        <v>37</v>
      </c>
      <c r="H175" s="6" t="s">
        <v>38</v>
      </c>
      <c r="I175" s="8" t="s">
        <v>73</v>
      </c>
      <c r="J175" s="9">
        <v>1</v>
      </c>
      <c r="K175" s="9">
        <v>240</v>
      </c>
      <c r="L175" s="9">
        <v>2023</v>
      </c>
      <c r="M175" s="8" t="s">
        <v>1199</v>
      </c>
      <c r="N175" s="8" t="s">
        <v>41</v>
      </c>
      <c r="O175" s="8" t="s">
        <v>42</v>
      </c>
      <c r="P175" s="6" t="s">
        <v>43</v>
      </c>
      <c r="Q175" s="8" t="s">
        <v>75</v>
      </c>
      <c r="R175" s="10" t="s">
        <v>1200</v>
      </c>
      <c r="S175" s="11" t="s">
        <v>1201</v>
      </c>
      <c r="T175" s="6"/>
      <c r="U175" s="27" t="str">
        <f>HYPERLINK("https://media.infra-m.ru/1903/1903241/cover/1903241.jpg", "Обложка")</f>
        <v>Обложка</v>
      </c>
      <c r="V175" s="27" t="str">
        <f>HYPERLINK("https://znanium.com/catalog/product/1903241", "Ознакомиться")</f>
        <v>Ознакомиться</v>
      </c>
      <c r="W175" s="8" t="s">
        <v>125</v>
      </c>
      <c r="X175" s="6"/>
      <c r="Y175" s="6"/>
      <c r="Z175" s="6"/>
      <c r="AA175" s="6" t="s">
        <v>150</v>
      </c>
    </row>
    <row r="176" spans="1:27" s="4" customFormat="1" ht="51.95" customHeight="1">
      <c r="A176" s="5">
        <v>0</v>
      </c>
      <c r="B176" s="6" t="s">
        <v>1202</v>
      </c>
      <c r="C176" s="13">
        <v>1314</v>
      </c>
      <c r="D176" s="8" t="s">
        <v>1203</v>
      </c>
      <c r="E176" s="8" t="s">
        <v>1204</v>
      </c>
      <c r="F176" s="8" t="s">
        <v>1205</v>
      </c>
      <c r="G176" s="6" t="s">
        <v>92</v>
      </c>
      <c r="H176" s="6" t="s">
        <v>38</v>
      </c>
      <c r="I176" s="8" t="s">
        <v>73</v>
      </c>
      <c r="J176" s="9">
        <v>1</v>
      </c>
      <c r="K176" s="9">
        <v>285</v>
      </c>
      <c r="L176" s="9">
        <v>2024</v>
      </c>
      <c r="M176" s="8" t="s">
        <v>1206</v>
      </c>
      <c r="N176" s="8" t="s">
        <v>41</v>
      </c>
      <c r="O176" s="8" t="s">
        <v>42</v>
      </c>
      <c r="P176" s="6" t="s">
        <v>55</v>
      </c>
      <c r="Q176" s="8" t="s">
        <v>75</v>
      </c>
      <c r="R176" s="10" t="s">
        <v>1207</v>
      </c>
      <c r="S176" s="11" t="s">
        <v>1208</v>
      </c>
      <c r="T176" s="6"/>
      <c r="U176" s="27" t="str">
        <f>HYPERLINK("https://media.infra-m.ru/2102/2102659/cover/2102659.jpg", "Обложка")</f>
        <v>Обложка</v>
      </c>
      <c r="V176" s="27" t="str">
        <f>HYPERLINK("https://znanium.com/catalog/product/1843634", "Ознакомиться")</f>
        <v>Ознакомиться</v>
      </c>
      <c r="W176" s="8" t="s">
        <v>46</v>
      </c>
      <c r="X176" s="6"/>
      <c r="Y176" s="6"/>
      <c r="Z176" s="6"/>
      <c r="AA176" s="6" t="s">
        <v>602</v>
      </c>
    </row>
    <row r="177" spans="1:27" s="4" customFormat="1" ht="51.95" customHeight="1">
      <c r="A177" s="5">
        <v>0</v>
      </c>
      <c r="B177" s="6" t="s">
        <v>1209</v>
      </c>
      <c r="C177" s="13">
        <v>1814</v>
      </c>
      <c r="D177" s="8" t="s">
        <v>1210</v>
      </c>
      <c r="E177" s="8" t="s">
        <v>1211</v>
      </c>
      <c r="F177" s="8" t="s">
        <v>1212</v>
      </c>
      <c r="G177" s="6" t="s">
        <v>37</v>
      </c>
      <c r="H177" s="6" t="s">
        <v>38</v>
      </c>
      <c r="I177" s="8" t="s">
        <v>73</v>
      </c>
      <c r="J177" s="9">
        <v>1</v>
      </c>
      <c r="K177" s="9">
        <v>401</v>
      </c>
      <c r="L177" s="9">
        <v>2023</v>
      </c>
      <c r="M177" s="8" t="s">
        <v>1213</v>
      </c>
      <c r="N177" s="8" t="s">
        <v>41</v>
      </c>
      <c r="O177" s="8" t="s">
        <v>42</v>
      </c>
      <c r="P177" s="6" t="s">
        <v>55</v>
      </c>
      <c r="Q177" s="8" t="s">
        <v>75</v>
      </c>
      <c r="R177" s="10" t="s">
        <v>1214</v>
      </c>
      <c r="S177" s="11" t="s">
        <v>1215</v>
      </c>
      <c r="T177" s="6"/>
      <c r="U177" s="27" t="str">
        <f>HYPERLINK("https://media.infra-m.ru/2006/2006846/cover/2006846.jpg", "Обложка")</f>
        <v>Обложка</v>
      </c>
      <c r="V177" s="27" t="str">
        <f>HYPERLINK("https://znanium.com/catalog/product/1948209", "Ознакомиться")</f>
        <v>Ознакомиться</v>
      </c>
      <c r="W177" s="8" t="s">
        <v>125</v>
      </c>
      <c r="X177" s="6"/>
      <c r="Y177" s="6"/>
      <c r="Z177" s="6"/>
      <c r="AA177" s="6" t="s">
        <v>126</v>
      </c>
    </row>
    <row r="178" spans="1:27" s="4" customFormat="1" ht="51.95" customHeight="1">
      <c r="A178" s="5">
        <v>0</v>
      </c>
      <c r="B178" s="6" t="s">
        <v>1216</v>
      </c>
      <c r="C178" s="7">
        <v>674.9</v>
      </c>
      <c r="D178" s="8" t="s">
        <v>1217</v>
      </c>
      <c r="E178" s="8" t="s">
        <v>1218</v>
      </c>
      <c r="F178" s="8" t="s">
        <v>1219</v>
      </c>
      <c r="G178" s="6" t="s">
        <v>119</v>
      </c>
      <c r="H178" s="6" t="s">
        <v>38</v>
      </c>
      <c r="I178" s="8" t="s">
        <v>132</v>
      </c>
      <c r="J178" s="9">
        <v>1</v>
      </c>
      <c r="K178" s="9">
        <v>176</v>
      </c>
      <c r="L178" s="9">
        <v>2022</v>
      </c>
      <c r="M178" s="8" t="s">
        <v>1220</v>
      </c>
      <c r="N178" s="8" t="s">
        <v>41</v>
      </c>
      <c r="O178" s="8" t="s">
        <v>42</v>
      </c>
      <c r="P178" s="6" t="s">
        <v>43</v>
      </c>
      <c r="Q178" s="8" t="s">
        <v>186</v>
      </c>
      <c r="R178" s="10" t="s">
        <v>1221</v>
      </c>
      <c r="S178" s="11" t="s">
        <v>1222</v>
      </c>
      <c r="T178" s="6"/>
      <c r="U178" s="27" t="str">
        <f>HYPERLINK("https://media.infra-m.ru/1844/1844427/cover/1844427.jpg", "Обложка")</f>
        <v>Обложка</v>
      </c>
      <c r="V178" s="27" t="str">
        <f>HYPERLINK("https://znanium.com/catalog/product/1844427", "Ознакомиться")</f>
        <v>Ознакомиться</v>
      </c>
      <c r="W178" s="8" t="s">
        <v>1223</v>
      </c>
      <c r="X178" s="6"/>
      <c r="Y178" s="6"/>
      <c r="Z178" s="6"/>
      <c r="AA178" s="6" t="s">
        <v>106</v>
      </c>
    </row>
    <row r="179" spans="1:27" s="4" customFormat="1" ht="51.95" customHeight="1">
      <c r="A179" s="5">
        <v>0</v>
      </c>
      <c r="B179" s="6" t="s">
        <v>1224</v>
      </c>
      <c r="C179" s="7">
        <v>610</v>
      </c>
      <c r="D179" s="8" t="s">
        <v>1225</v>
      </c>
      <c r="E179" s="8" t="s">
        <v>1226</v>
      </c>
      <c r="F179" s="8" t="s">
        <v>1227</v>
      </c>
      <c r="G179" s="6" t="s">
        <v>119</v>
      </c>
      <c r="H179" s="6" t="s">
        <v>209</v>
      </c>
      <c r="I179" s="8" t="s">
        <v>132</v>
      </c>
      <c r="J179" s="9">
        <v>1</v>
      </c>
      <c r="K179" s="9">
        <v>132</v>
      </c>
      <c r="L179" s="9">
        <v>2024</v>
      </c>
      <c r="M179" s="8" t="s">
        <v>1228</v>
      </c>
      <c r="N179" s="8" t="s">
        <v>41</v>
      </c>
      <c r="O179" s="8" t="s">
        <v>42</v>
      </c>
      <c r="P179" s="6" t="s">
        <v>43</v>
      </c>
      <c r="Q179" s="8" t="s">
        <v>286</v>
      </c>
      <c r="R179" s="10" t="s">
        <v>656</v>
      </c>
      <c r="S179" s="11" t="s">
        <v>1229</v>
      </c>
      <c r="T179" s="6"/>
      <c r="U179" s="27" t="str">
        <f>HYPERLINK("https://media.infra-m.ru/2102/2102730/cover/2102730.jpg", "Обложка")</f>
        <v>Обложка</v>
      </c>
      <c r="V179" s="27" t="str">
        <f>HYPERLINK("https://znanium.com/catalog/product/2102730", "Ознакомиться")</f>
        <v>Ознакомиться</v>
      </c>
      <c r="W179" s="8"/>
      <c r="X179" s="6"/>
      <c r="Y179" s="6"/>
      <c r="Z179" s="6"/>
      <c r="AA179" s="6" t="s">
        <v>222</v>
      </c>
    </row>
    <row r="180" spans="1:27" s="4" customFormat="1" ht="51.95" customHeight="1">
      <c r="A180" s="5">
        <v>0</v>
      </c>
      <c r="B180" s="6" t="s">
        <v>1230</v>
      </c>
      <c r="C180" s="7">
        <v>620</v>
      </c>
      <c r="D180" s="8" t="s">
        <v>1231</v>
      </c>
      <c r="E180" s="8" t="s">
        <v>1232</v>
      </c>
      <c r="F180" s="8" t="s">
        <v>1233</v>
      </c>
      <c r="G180" s="6" t="s">
        <v>92</v>
      </c>
      <c r="H180" s="6" t="s">
        <v>38</v>
      </c>
      <c r="I180" s="8" t="s">
        <v>73</v>
      </c>
      <c r="J180" s="9">
        <v>1</v>
      </c>
      <c r="K180" s="9">
        <v>219</v>
      </c>
      <c r="L180" s="9">
        <v>2018</v>
      </c>
      <c r="M180" s="8" t="s">
        <v>1234</v>
      </c>
      <c r="N180" s="8" t="s">
        <v>41</v>
      </c>
      <c r="O180" s="8" t="s">
        <v>42</v>
      </c>
      <c r="P180" s="6" t="s">
        <v>55</v>
      </c>
      <c r="Q180" s="8" t="s">
        <v>75</v>
      </c>
      <c r="R180" s="10" t="s">
        <v>1235</v>
      </c>
      <c r="S180" s="11" t="s">
        <v>1236</v>
      </c>
      <c r="T180" s="6"/>
      <c r="U180" s="27" t="str">
        <f>HYPERLINK("https://media.infra-m.ru/0966/0966306/cover/966306.jpg", "Обложка")</f>
        <v>Обложка</v>
      </c>
      <c r="V180" s="27" t="str">
        <f>HYPERLINK("https://znanium.com/catalog/product/1855828", "Ознакомиться")</f>
        <v>Ознакомиться</v>
      </c>
      <c r="W180" s="8" t="s">
        <v>149</v>
      </c>
      <c r="X180" s="6"/>
      <c r="Y180" s="6"/>
      <c r="Z180" s="6"/>
      <c r="AA180" s="6" t="s">
        <v>346</v>
      </c>
    </row>
    <row r="181" spans="1:27" s="4" customFormat="1" ht="51.95" customHeight="1">
      <c r="A181" s="5">
        <v>0</v>
      </c>
      <c r="B181" s="6" t="s">
        <v>1237</v>
      </c>
      <c r="C181" s="7">
        <v>774</v>
      </c>
      <c r="D181" s="8" t="s">
        <v>1238</v>
      </c>
      <c r="E181" s="8" t="s">
        <v>1239</v>
      </c>
      <c r="F181" s="8" t="s">
        <v>1240</v>
      </c>
      <c r="G181" s="6" t="s">
        <v>119</v>
      </c>
      <c r="H181" s="6" t="s">
        <v>209</v>
      </c>
      <c r="I181" s="8" t="s">
        <v>73</v>
      </c>
      <c r="J181" s="9">
        <v>1</v>
      </c>
      <c r="K181" s="9">
        <v>171</v>
      </c>
      <c r="L181" s="9">
        <v>2023</v>
      </c>
      <c r="M181" s="8" t="s">
        <v>1241</v>
      </c>
      <c r="N181" s="8" t="s">
        <v>41</v>
      </c>
      <c r="O181" s="8" t="s">
        <v>42</v>
      </c>
      <c r="P181" s="6" t="s">
        <v>43</v>
      </c>
      <c r="Q181" s="8" t="s">
        <v>75</v>
      </c>
      <c r="R181" s="10" t="s">
        <v>656</v>
      </c>
      <c r="S181" s="11" t="s">
        <v>1229</v>
      </c>
      <c r="T181" s="6"/>
      <c r="U181" s="27" t="str">
        <f>HYPERLINK("https://media.infra-m.ru/2001/2001637/cover/2001637.jpg", "Обложка")</f>
        <v>Обложка</v>
      </c>
      <c r="V181" s="27" t="str">
        <f>HYPERLINK("https://znanium.com/catalog/product/1353317", "Ознакомиться")</f>
        <v>Ознакомиться</v>
      </c>
      <c r="W181" s="8"/>
      <c r="X181" s="6"/>
      <c r="Y181" s="6"/>
      <c r="Z181" s="6"/>
      <c r="AA181" s="6" t="s">
        <v>222</v>
      </c>
    </row>
    <row r="182" spans="1:27" s="4" customFormat="1" ht="42" customHeight="1">
      <c r="A182" s="5">
        <v>0</v>
      </c>
      <c r="B182" s="6" t="s">
        <v>1242</v>
      </c>
      <c r="C182" s="13">
        <v>1020</v>
      </c>
      <c r="D182" s="8" t="s">
        <v>1243</v>
      </c>
      <c r="E182" s="8" t="s">
        <v>1244</v>
      </c>
      <c r="F182" s="8" t="s">
        <v>1245</v>
      </c>
      <c r="G182" s="6" t="s">
        <v>92</v>
      </c>
      <c r="H182" s="6" t="s">
        <v>93</v>
      </c>
      <c r="I182" s="8"/>
      <c r="J182" s="9">
        <v>1</v>
      </c>
      <c r="K182" s="9">
        <v>320</v>
      </c>
      <c r="L182" s="9">
        <v>2019</v>
      </c>
      <c r="M182" s="8" t="s">
        <v>1246</v>
      </c>
      <c r="N182" s="8" t="s">
        <v>41</v>
      </c>
      <c r="O182" s="8" t="s">
        <v>42</v>
      </c>
      <c r="P182" s="6" t="s">
        <v>43</v>
      </c>
      <c r="Q182" s="8" t="s">
        <v>75</v>
      </c>
      <c r="R182" s="10" t="s">
        <v>201</v>
      </c>
      <c r="S182" s="11"/>
      <c r="T182" s="6"/>
      <c r="U182" s="27" t="str">
        <f>HYPERLINK("https://media.infra-m.ru/1002/1002353/cover/1002353.jpg", "Обложка")</f>
        <v>Обложка</v>
      </c>
      <c r="V182" s="27" t="str">
        <f>HYPERLINK("https://znanium.com/catalog/product/538869", "Ознакомиться")</f>
        <v>Ознакомиться</v>
      </c>
      <c r="W182" s="8" t="s">
        <v>125</v>
      </c>
      <c r="X182" s="6"/>
      <c r="Y182" s="6"/>
      <c r="Z182" s="6"/>
      <c r="AA182" s="6" t="s">
        <v>150</v>
      </c>
    </row>
    <row r="183" spans="1:27" s="4" customFormat="1" ht="51.95" customHeight="1">
      <c r="A183" s="5">
        <v>0</v>
      </c>
      <c r="B183" s="6" t="s">
        <v>1247</v>
      </c>
      <c r="C183" s="13">
        <v>1224.9000000000001</v>
      </c>
      <c r="D183" s="8" t="s">
        <v>1248</v>
      </c>
      <c r="E183" s="8" t="s">
        <v>1249</v>
      </c>
      <c r="F183" s="8" t="s">
        <v>1250</v>
      </c>
      <c r="G183" s="6" t="s">
        <v>92</v>
      </c>
      <c r="H183" s="6" t="s">
        <v>1120</v>
      </c>
      <c r="I183" s="8"/>
      <c r="J183" s="9">
        <v>1</v>
      </c>
      <c r="K183" s="9">
        <v>272</v>
      </c>
      <c r="L183" s="9">
        <v>2023</v>
      </c>
      <c r="M183" s="8" t="s">
        <v>1251</v>
      </c>
      <c r="N183" s="8" t="s">
        <v>41</v>
      </c>
      <c r="O183" s="8" t="s">
        <v>42</v>
      </c>
      <c r="P183" s="6" t="s">
        <v>43</v>
      </c>
      <c r="Q183" s="8" t="s">
        <v>75</v>
      </c>
      <c r="R183" s="10" t="s">
        <v>1252</v>
      </c>
      <c r="S183" s="11" t="s">
        <v>1253</v>
      </c>
      <c r="T183" s="6"/>
      <c r="U183" s="27" t="str">
        <f>HYPERLINK("https://media.infra-m.ru/1921/1921400/cover/1921400.jpg", "Обложка")</f>
        <v>Обложка</v>
      </c>
      <c r="V183" s="27" t="str">
        <f>HYPERLINK("https://znanium.com/catalog/product/1026456", "Ознакомиться")</f>
        <v>Ознакомиться</v>
      </c>
      <c r="W183" s="8" t="s">
        <v>212</v>
      </c>
      <c r="X183" s="6"/>
      <c r="Y183" s="6"/>
      <c r="Z183" s="6"/>
      <c r="AA183" s="6" t="s">
        <v>114</v>
      </c>
    </row>
    <row r="184" spans="1:27" s="4" customFormat="1" ht="42" customHeight="1">
      <c r="A184" s="5">
        <v>0</v>
      </c>
      <c r="B184" s="6" t="s">
        <v>1254</v>
      </c>
      <c r="C184" s="7">
        <v>554.9</v>
      </c>
      <c r="D184" s="8" t="s">
        <v>1255</v>
      </c>
      <c r="E184" s="8" t="s">
        <v>1256</v>
      </c>
      <c r="F184" s="8" t="s">
        <v>1257</v>
      </c>
      <c r="G184" s="6" t="s">
        <v>119</v>
      </c>
      <c r="H184" s="6" t="s">
        <v>93</v>
      </c>
      <c r="I184" s="8"/>
      <c r="J184" s="9">
        <v>1</v>
      </c>
      <c r="K184" s="9">
        <v>164</v>
      </c>
      <c r="L184" s="9">
        <v>2020</v>
      </c>
      <c r="M184" s="8" t="s">
        <v>1258</v>
      </c>
      <c r="N184" s="8" t="s">
        <v>41</v>
      </c>
      <c r="O184" s="8" t="s">
        <v>42</v>
      </c>
      <c r="P184" s="6" t="s">
        <v>43</v>
      </c>
      <c r="Q184" s="8" t="s">
        <v>75</v>
      </c>
      <c r="R184" s="10" t="s">
        <v>1259</v>
      </c>
      <c r="S184" s="11"/>
      <c r="T184" s="6"/>
      <c r="U184" s="27" t="str">
        <f>HYPERLINK("https://media.infra-m.ru/1045/1045792/cover/1045792.jpg", "Обложка")</f>
        <v>Обложка</v>
      </c>
      <c r="V184" s="27" t="str">
        <f>HYPERLINK("https://znanium.com/catalog/product/934659", "Ознакомиться")</f>
        <v>Ознакомиться</v>
      </c>
      <c r="W184" s="8" t="s">
        <v>870</v>
      </c>
      <c r="X184" s="6"/>
      <c r="Y184" s="6"/>
      <c r="Z184" s="6"/>
      <c r="AA184" s="6" t="s">
        <v>222</v>
      </c>
    </row>
    <row r="185" spans="1:27" s="4" customFormat="1" ht="51.95" customHeight="1">
      <c r="A185" s="5">
        <v>0</v>
      </c>
      <c r="B185" s="6" t="s">
        <v>1260</v>
      </c>
      <c r="C185" s="7">
        <v>864.9</v>
      </c>
      <c r="D185" s="8" t="s">
        <v>1261</v>
      </c>
      <c r="E185" s="8" t="s">
        <v>1262</v>
      </c>
      <c r="F185" s="8" t="s">
        <v>370</v>
      </c>
      <c r="G185" s="6" t="s">
        <v>37</v>
      </c>
      <c r="H185" s="6" t="s">
        <v>38</v>
      </c>
      <c r="I185" s="8" t="s">
        <v>73</v>
      </c>
      <c r="J185" s="9">
        <v>1</v>
      </c>
      <c r="K185" s="9">
        <v>193</v>
      </c>
      <c r="L185" s="9">
        <v>2023</v>
      </c>
      <c r="M185" s="8" t="s">
        <v>1263</v>
      </c>
      <c r="N185" s="8" t="s">
        <v>41</v>
      </c>
      <c r="O185" s="8" t="s">
        <v>401</v>
      </c>
      <c r="P185" s="6" t="s">
        <v>43</v>
      </c>
      <c r="Q185" s="8" t="s">
        <v>75</v>
      </c>
      <c r="R185" s="10" t="s">
        <v>1264</v>
      </c>
      <c r="S185" s="11" t="s">
        <v>1265</v>
      </c>
      <c r="T185" s="6"/>
      <c r="U185" s="27" t="str">
        <f>HYPERLINK("https://media.infra-m.ru/1974/1974381/cover/1974381.jpg", "Обложка")</f>
        <v>Обложка</v>
      </c>
      <c r="V185" s="27" t="str">
        <f>HYPERLINK("https://znanium.com/catalog/product/1855503", "Ознакомиться")</f>
        <v>Ознакомиться</v>
      </c>
      <c r="W185" s="8" t="s">
        <v>373</v>
      </c>
      <c r="X185" s="6"/>
      <c r="Y185" s="6"/>
      <c r="Z185" s="6"/>
      <c r="AA185" s="6" t="s">
        <v>61</v>
      </c>
    </row>
    <row r="186" spans="1:27" s="4" customFormat="1" ht="51.95" customHeight="1">
      <c r="A186" s="5">
        <v>0</v>
      </c>
      <c r="B186" s="6" t="s">
        <v>1266</v>
      </c>
      <c r="C186" s="13">
        <v>1280</v>
      </c>
      <c r="D186" s="8" t="s">
        <v>1267</v>
      </c>
      <c r="E186" s="8" t="s">
        <v>1268</v>
      </c>
      <c r="F186" s="8" t="s">
        <v>1269</v>
      </c>
      <c r="G186" s="6" t="s">
        <v>37</v>
      </c>
      <c r="H186" s="6" t="s">
        <v>38</v>
      </c>
      <c r="I186" s="8" t="s">
        <v>73</v>
      </c>
      <c r="J186" s="9">
        <v>1</v>
      </c>
      <c r="K186" s="9">
        <v>284</v>
      </c>
      <c r="L186" s="9">
        <v>2022</v>
      </c>
      <c r="M186" s="8" t="s">
        <v>1270</v>
      </c>
      <c r="N186" s="8" t="s">
        <v>41</v>
      </c>
      <c r="O186" s="8" t="s">
        <v>401</v>
      </c>
      <c r="P186" s="6" t="s">
        <v>43</v>
      </c>
      <c r="Q186" s="8" t="s">
        <v>75</v>
      </c>
      <c r="R186" s="10" t="s">
        <v>1271</v>
      </c>
      <c r="S186" s="11" t="s">
        <v>1272</v>
      </c>
      <c r="T186" s="6"/>
      <c r="U186" s="27" t="str">
        <f>HYPERLINK("https://media.infra-m.ru/1872/1872351/cover/1872351.jpg", "Обложка")</f>
        <v>Обложка</v>
      </c>
      <c r="V186" s="27" t="str">
        <f>HYPERLINK("https://znanium.com/catalog/product/1872351", "Ознакомиться")</f>
        <v>Ознакомиться</v>
      </c>
      <c r="W186" s="8" t="s">
        <v>180</v>
      </c>
      <c r="X186" s="6"/>
      <c r="Y186" s="6"/>
      <c r="Z186" s="6"/>
      <c r="AA186" s="6" t="s">
        <v>444</v>
      </c>
    </row>
    <row r="187" spans="1:27" s="4" customFormat="1" ht="51.95" customHeight="1">
      <c r="A187" s="5">
        <v>0</v>
      </c>
      <c r="B187" s="6" t="s">
        <v>1273</v>
      </c>
      <c r="C187" s="13">
        <v>1274.9000000000001</v>
      </c>
      <c r="D187" s="8" t="s">
        <v>1274</v>
      </c>
      <c r="E187" s="8" t="s">
        <v>1268</v>
      </c>
      <c r="F187" s="8" t="s">
        <v>1269</v>
      </c>
      <c r="G187" s="6" t="s">
        <v>37</v>
      </c>
      <c r="H187" s="6" t="s">
        <v>38</v>
      </c>
      <c r="I187" s="8" t="s">
        <v>53</v>
      </c>
      <c r="J187" s="9">
        <v>1</v>
      </c>
      <c r="K187" s="9">
        <v>284</v>
      </c>
      <c r="L187" s="9">
        <v>2023</v>
      </c>
      <c r="M187" s="8" t="s">
        <v>1275</v>
      </c>
      <c r="N187" s="8" t="s">
        <v>41</v>
      </c>
      <c r="O187" s="8" t="s">
        <v>401</v>
      </c>
      <c r="P187" s="6" t="s">
        <v>43</v>
      </c>
      <c r="Q187" s="8" t="s">
        <v>56</v>
      </c>
      <c r="R187" s="10" t="s">
        <v>155</v>
      </c>
      <c r="S187" s="11" t="s">
        <v>694</v>
      </c>
      <c r="T187" s="6"/>
      <c r="U187" s="27" t="str">
        <f>HYPERLINK("https://media.infra-m.ru/1965/1965756/cover/1965756.jpg", "Обложка")</f>
        <v>Обложка</v>
      </c>
      <c r="V187" s="27" t="str">
        <f>HYPERLINK("https://znanium.com/catalog/product/1141790", "Ознакомиться")</f>
        <v>Ознакомиться</v>
      </c>
      <c r="W187" s="8" t="s">
        <v>180</v>
      </c>
      <c r="X187" s="6"/>
      <c r="Y187" s="6"/>
      <c r="Z187" s="6" t="s">
        <v>60</v>
      </c>
      <c r="AA187" s="6" t="s">
        <v>1276</v>
      </c>
    </row>
    <row r="188" spans="1:27" s="4" customFormat="1" ht="51.95" customHeight="1">
      <c r="A188" s="5">
        <v>0</v>
      </c>
      <c r="B188" s="6" t="s">
        <v>1277</v>
      </c>
      <c r="C188" s="13">
        <v>1684</v>
      </c>
      <c r="D188" s="8" t="s">
        <v>1278</v>
      </c>
      <c r="E188" s="8" t="s">
        <v>1268</v>
      </c>
      <c r="F188" s="8" t="s">
        <v>1279</v>
      </c>
      <c r="G188" s="6" t="s">
        <v>119</v>
      </c>
      <c r="H188" s="6" t="s">
        <v>38</v>
      </c>
      <c r="I188" s="8"/>
      <c r="J188" s="9">
        <v>1</v>
      </c>
      <c r="K188" s="9">
        <v>366</v>
      </c>
      <c r="L188" s="9">
        <v>2024</v>
      </c>
      <c r="M188" s="8" t="s">
        <v>1280</v>
      </c>
      <c r="N188" s="8" t="s">
        <v>41</v>
      </c>
      <c r="O188" s="8" t="s">
        <v>401</v>
      </c>
      <c r="P188" s="6" t="s">
        <v>43</v>
      </c>
      <c r="Q188" s="8" t="s">
        <v>56</v>
      </c>
      <c r="R188" s="10" t="s">
        <v>1281</v>
      </c>
      <c r="S188" s="11" t="s">
        <v>281</v>
      </c>
      <c r="T188" s="6"/>
      <c r="U188" s="27" t="str">
        <f>HYPERLINK("https://media.infra-m.ru/2083/2083415/cover/2083415.jpg", "Обложка")</f>
        <v>Обложка</v>
      </c>
      <c r="V188" s="27" t="str">
        <f>HYPERLINK("https://znanium.com/catalog/product/1903789", "Ознакомиться")</f>
        <v>Ознакомиться</v>
      </c>
      <c r="W188" s="8" t="s">
        <v>125</v>
      </c>
      <c r="X188" s="6"/>
      <c r="Y188" s="6"/>
      <c r="Z188" s="6"/>
      <c r="AA188" s="6" t="s">
        <v>1094</v>
      </c>
    </row>
    <row r="189" spans="1:27" s="4" customFormat="1" ht="51.95" customHeight="1">
      <c r="A189" s="5">
        <v>0</v>
      </c>
      <c r="B189" s="6" t="s">
        <v>1282</v>
      </c>
      <c r="C189" s="7">
        <v>694</v>
      </c>
      <c r="D189" s="8" t="s">
        <v>1283</v>
      </c>
      <c r="E189" s="8" t="s">
        <v>1284</v>
      </c>
      <c r="F189" s="8" t="s">
        <v>1285</v>
      </c>
      <c r="G189" s="6" t="s">
        <v>92</v>
      </c>
      <c r="H189" s="6" t="s">
        <v>38</v>
      </c>
      <c r="I189" s="8" t="s">
        <v>73</v>
      </c>
      <c r="J189" s="9">
        <v>1</v>
      </c>
      <c r="K189" s="9">
        <v>152</v>
      </c>
      <c r="L189" s="9">
        <v>2024</v>
      </c>
      <c r="M189" s="8" t="s">
        <v>1286</v>
      </c>
      <c r="N189" s="8" t="s">
        <v>41</v>
      </c>
      <c r="O189" s="8" t="s">
        <v>401</v>
      </c>
      <c r="P189" s="6" t="s">
        <v>55</v>
      </c>
      <c r="Q189" s="8" t="s">
        <v>75</v>
      </c>
      <c r="R189" s="10" t="s">
        <v>1287</v>
      </c>
      <c r="S189" s="11" t="s">
        <v>1288</v>
      </c>
      <c r="T189" s="6"/>
      <c r="U189" s="27" t="str">
        <f>HYPERLINK("https://media.infra-m.ru/1859/1859822/cover/1859822.jpg", "Обложка")</f>
        <v>Обложка</v>
      </c>
      <c r="V189" s="27" t="str">
        <f>HYPERLINK("https://znanium.com/catalog/product/1630190", "Ознакомиться")</f>
        <v>Ознакомиться</v>
      </c>
      <c r="W189" s="8" t="s">
        <v>823</v>
      </c>
      <c r="X189" s="6"/>
      <c r="Y189" s="6"/>
      <c r="Z189" s="6"/>
      <c r="AA189" s="6" t="s">
        <v>114</v>
      </c>
    </row>
    <row r="190" spans="1:27" s="4" customFormat="1" ht="51.95" customHeight="1">
      <c r="A190" s="5">
        <v>0</v>
      </c>
      <c r="B190" s="6" t="s">
        <v>1289</v>
      </c>
      <c r="C190" s="13">
        <v>1064.9000000000001</v>
      </c>
      <c r="D190" s="8" t="s">
        <v>1290</v>
      </c>
      <c r="E190" s="8" t="s">
        <v>1291</v>
      </c>
      <c r="F190" s="8" t="s">
        <v>868</v>
      </c>
      <c r="G190" s="6" t="s">
        <v>37</v>
      </c>
      <c r="H190" s="6" t="s">
        <v>52</v>
      </c>
      <c r="I190" s="8" t="s">
        <v>73</v>
      </c>
      <c r="J190" s="9">
        <v>1</v>
      </c>
      <c r="K190" s="9">
        <v>236</v>
      </c>
      <c r="L190" s="9">
        <v>2023</v>
      </c>
      <c r="M190" s="8" t="s">
        <v>1292</v>
      </c>
      <c r="N190" s="8" t="s">
        <v>41</v>
      </c>
      <c r="O190" s="8" t="s">
        <v>401</v>
      </c>
      <c r="P190" s="6" t="s">
        <v>55</v>
      </c>
      <c r="Q190" s="8" t="s">
        <v>75</v>
      </c>
      <c r="R190" s="10" t="s">
        <v>1293</v>
      </c>
      <c r="S190" s="11" t="s">
        <v>1294</v>
      </c>
      <c r="T190" s="6"/>
      <c r="U190" s="27" t="str">
        <f>HYPERLINK("https://media.infra-m.ru/1981/1981611/cover/1981611.jpg", "Обложка")</f>
        <v>Обложка</v>
      </c>
      <c r="V190" s="27" t="str">
        <f>HYPERLINK("https://znanium.com/catalog/product/976501", "Ознакомиться")</f>
        <v>Ознакомиться</v>
      </c>
      <c r="W190" s="8" t="s">
        <v>870</v>
      </c>
      <c r="X190" s="6"/>
      <c r="Y190" s="6"/>
      <c r="Z190" s="6"/>
      <c r="AA190" s="6" t="s">
        <v>346</v>
      </c>
    </row>
    <row r="191" spans="1:27" s="4" customFormat="1" ht="51.95" customHeight="1">
      <c r="A191" s="5">
        <v>0</v>
      </c>
      <c r="B191" s="6" t="s">
        <v>1295</v>
      </c>
      <c r="C191" s="13">
        <v>2994</v>
      </c>
      <c r="D191" s="8" t="s">
        <v>1296</v>
      </c>
      <c r="E191" s="8" t="s">
        <v>1297</v>
      </c>
      <c r="F191" s="8" t="s">
        <v>1298</v>
      </c>
      <c r="G191" s="6" t="s">
        <v>92</v>
      </c>
      <c r="H191" s="6" t="s">
        <v>131</v>
      </c>
      <c r="I191" s="8" t="s">
        <v>132</v>
      </c>
      <c r="J191" s="9">
        <v>1</v>
      </c>
      <c r="K191" s="9">
        <v>512</v>
      </c>
      <c r="L191" s="9">
        <v>2023</v>
      </c>
      <c r="M191" s="8" t="s">
        <v>1299</v>
      </c>
      <c r="N191" s="8" t="s">
        <v>41</v>
      </c>
      <c r="O191" s="8" t="s">
        <v>401</v>
      </c>
      <c r="P191" s="6" t="s">
        <v>43</v>
      </c>
      <c r="Q191" s="8" t="s">
        <v>75</v>
      </c>
      <c r="R191" s="10" t="s">
        <v>1300</v>
      </c>
      <c r="S191" s="11" t="s">
        <v>1301</v>
      </c>
      <c r="T191" s="6"/>
      <c r="U191" s="27" t="str">
        <f>HYPERLINK("https://media.infra-m.ru/2023/2023156/cover/2023156.jpg", "Обложка")</f>
        <v>Обложка</v>
      </c>
      <c r="V191" s="27" t="str">
        <f>HYPERLINK("https://znanium.com/catalog/product/1669592", "Ознакомиться")</f>
        <v>Ознакомиться</v>
      </c>
      <c r="W191" s="8" t="s">
        <v>149</v>
      </c>
      <c r="X191" s="6"/>
      <c r="Y191" s="6"/>
      <c r="Z191" s="6"/>
      <c r="AA191" s="6" t="s">
        <v>451</v>
      </c>
    </row>
    <row r="192" spans="1:27" s="4" customFormat="1" ht="51.95" customHeight="1">
      <c r="A192" s="5">
        <v>0</v>
      </c>
      <c r="B192" s="6" t="s">
        <v>1302</v>
      </c>
      <c r="C192" s="13">
        <v>2304</v>
      </c>
      <c r="D192" s="8" t="s">
        <v>1303</v>
      </c>
      <c r="E192" s="8" t="s">
        <v>1297</v>
      </c>
      <c r="F192" s="8" t="s">
        <v>1298</v>
      </c>
      <c r="G192" s="6" t="s">
        <v>92</v>
      </c>
      <c r="H192" s="6" t="s">
        <v>131</v>
      </c>
      <c r="I192" s="8" t="s">
        <v>53</v>
      </c>
      <c r="J192" s="9">
        <v>1</v>
      </c>
      <c r="K192" s="9">
        <v>512</v>
      </c>
      <c r="L192" s="9">
        <v>2023</v>
      </c>
      <c r="M192" s="8" t="s">
        <v>1304</v>
      </c>
      <c r="N192" s="8" t="s">
        <v>41</v>
      </c>
      <c r="O192" s="8" t="s">
        <v>401</v>
      </c>
      <c r="P192" s="6" t="s">
        <v>43</v>
      </c>
      <c r="Q192" s="8" t="s">
        <v>56</v>
      </c>
      <c r="R192" s="10" t="s">
        <v>1305</v>
      </c>
      <c r="S192" s="11" t="s">
        <v>1306</v>
      </c>
      <c r="T192" s="6"/>
      <c r="U192" s="27" t="str">
        <f>HYPERLINK("https://media.infra-m.ru/2021/2021427/cover/2021427.jpg", "Обложка")</f>
        <v>Обложка</v>
      </c>
      <c r="V192" s="27" t="str">
        <f>HYPERLINK("https://znanium.com/catalog/product/1120823", "Ознакомиться")</f>
        <v>Ознакомиться</v>
      </c>
      <c r="W192" s="8" t="s">
        <v>149</v>
      </c>
      <c r="X192" s="6"/>
      <c r="Y192" s="6"/>
      <c r="Z192" s="6" t="s">
        <v>60</v>
      </c>
      <c r="AA192" s="6" t="s">
        <v>61</v>
      </c>
    </row>
    <row r="193" spans="1:27" s="4" customFormat="1" ht="51.95" customHeight="1">
      <c r="A193" s="5">
        <v>0</v>
      </c>
      <c r="B193" s="6" t="s">
        <v>1307</v>
      </c>
      <c r="C193" s="13">
        <v>1154.9000000000001</v>
      </c>
      <c r="D193" s="8" t="s">
        <v>1308</v>
      </c>
      <c r="E193" s="8" t="s">
        <v>1309</v>
      </c>
      <c r="F193" s="8" t="s">
        <v>1310</v>
      </c>
      <c r="G193" s="6" t="s">
        <v>92</v>
      </c>
      <c r="H193" s="6" t="s">
        <v>717</v>
      </c>
      <c r="I193" s="8" t="s">
        <v>132</v>
      </c>
      <c r="J193" s="9">
        <v>1</v>
      </c>
      <c r="K193" s="9">
        <v>304</v>
      </c>
      <c r="L193" s="9">
        <v>2022</v>
      </c>
      <c r="M193" s="8" t="s">
        <v>1311</v>
      </c>
      <c r="N193" s="8" t="s">
        <v>41</v>
      </c>
      <c r="O193" s="8" t="s">
        <v>42</v>
      </c>
      <c r="P193" s="6" t="s">
        <v>43</v>
      </c>
      <c r="Q193" s="8" t="s">
        <v>75</v>
      </c>
      <c r="R193" s="10" t="s">
        <v>1312</v>
      </c>
      <c r="S193" s="11" t="s">
        <v>1313</v>
      </c>
      <c r="T193" s="6"/>
      <c r="U193" s="27" t="str">
        <f>HYPERLINK("https://media.infra-m.ru/1856/1856788/cover/1856788.jpg", "Обложка")</f>
        <v>Обложка</v>
      </c>
      <c r="V193" s="27" t="str">
        <f>HYPERLINK("https://znanium.com/catalog/product/145468", "Ознакомиться")</f>
        <v>Ознакомиться</v>
      </c>
      <c r="W193" s="8" t="s">
        <v>1194</v>
      </c>
      <c r="X193" s="6"/>
      <c r="Y193" s="6"/>
      <c r="Z193" s="6"/>
      <c r="AA193" s="6" t="s">
        <v>339</v>
      </c>
    </row>
    <row r="194" spans="1:27" s="4" customFormat="1" ht="51.95" customHeight="1">
      <c r="A194" s="5">
        <v>0</v>
      </c>
      <c r="B194" s="6" t="s">
        <v>1314</v>
      </c>
      <c r="C194" s="7">
        <v>750</v>
      </c>
      <c r="D194" s="8" t="s">
        <v>1315</v>
      </c>
      <c r="E194" s="8" t="s">
        <v>1316</v>
      </c>
      <c r="F194" s="8" t="s">
        <v>1317</v>
      </c>
      <c r="G194" s="6" t="s">
        <v>37</v>
      </c>
      <c r="H194" s="6" t="s">
        <v>38</v>
      </c>
      <c r="I194" s="8" t="s">
        <v>53</v>
      </c>
      <c r="J194" s="9">
        <v>1</v>
      </c>
      <c r="K194" s="9">
        <v>178</v>
      </c>
      <c r="L194" s="9">
        <v>2022</v>
      </c>
      <c r="M194" s="8" t="s">
        <v>1318</v>
      </c>
      <c r="N194" s="8" t="s">
        <v>41</v>
      </c>
      <c r="O194" s="8" t="s">
        <v>42</v>
      </c>
      <c r="P194" s="6" t="s">
        <v>43</v>
      </c>
      <c r="Q194" s="8" t="s">
        <v>56</v>
      </c>
      <c r="R194" s="10" t="s">
        <v>1319</v>
      </c>
      <c r="S194" s="11" t="s">
        <v>1320</v>
      </c>
      <c r="T194" s="6"/>
      <c r="U194" s="27" t="str">
        <f>HYPERLINK("https://media.infra-m.ru/1245/1245071/cover/1245071.jpg", "Обложка")</f>
        <v>Обложка</v>
      </c>
      <c r="V194" s="27" t="str">
        <f>HYPERLINK("https://znanium.com/catalog/product/1245071", "Ознакомиться")</f>
        <v>Ознакомиться</v>
      </c>
      <c r="W194" s="8" t="s">
        <v>125</v>
      </c>
      <c r="X194" s="6"/>
      <c r="Y194" s="6"/>
      <c r="Z194" s="6"/>
      <c r="AA194" s="6" t="s">
        <v>559</v>
      </c>
    </row>
    <row r="195" spans="1:27" s="4" customFormat="1" ht="51.95" customHeight="1">
      <c r="A195" s="5">
        <v>0</v>
      </c>
      <c r="B195" s="6" t="s">
        <v>1321</v>
      </c>
      <c r="C195" s="7">
        <v>550</v>
      </c>
      <c r="D195" s="8" t="s">
        <v>1322</v>
      </c>
      <c r="E195" s="8" t="s">
        <v>1323</v>
      </c>
      <c r="F195" s="8" t="s">
        <v>1317</v>
      </c>
      <c r="G195" s="6" t="s">
        <v>119</v>
      </c>
      <c r="H195" s="6" t="s">
        <v>131</v>
      </c>
      <c r="I195" s="8" t="s">
        <v>257</v>
      </c>
      <c r="J195" s="9">
        <v>1</v>
      </c>
      <c r="K195" s="9">
        <v>152</v>
      </c>
      <c r="L195" s="9">
        <v>2021</v>
      </c>
      <c r="M195" s="8" t="s">
        <v>1324</v>
      </c>
      <c r="N195" s="8" t="s">
        <v>41</v>
      </c>
      <c r="O195" s="8" t="s">
        <v>42</v>
      </c>
      <c r="P195" s="6" t="s">
        <v>43</v>
      </c>
      <c r="Q195" s="8" t="s">
        <v>56</v>
      </c>
      <c r="R195" s="10" t="s">
        <v>1319</v>
      </c>
      <c r="S195" s="11" t="s">
        <v>1325</v>
      </c>
      <c r="T195" s="6"/>
      <c r="U195" s="27" t="str">
        <f>HYPERLINK("https://media.infra-m.ru/1234/1234626/cover/1234626.jpg", "Обложка")</f>
        <v>Обложка</v>
      </c>
      <c r="V195" s="27" t="str">
        <f>HYPERLINK("https://znanium.com/catalog/product/1245071", "Ознакомиться")</f>
        <v>Ознакомиться</v>
      </c>
      <c r="W195" s="8" t="s">
        <v>125</v>
      </c>
      <c r="X195" s="6"/>
      <c r="Y195" s="6"/>
      <c r="Z195" s="6"/>
      <c r="AA195" s="6" t="s">
        <v>213</v>
      </c>
    </row>
    <row r="196" spans="1:27" s="4" customFormat="1" ht="51.95" customHeight="1">
      <c r="A196" s="5">
        <v>0</v>
      </c>
      <c r="B196" s="6" t="s">
        <v>1326</v>
      </c>
      <c r="C196" s="7">
        <v>824</v>
      </c>
      <c r="D196" s="8" t="s">
        <v>1327</v>
      </c>
      <c r="E196" s="8" t="s">
        <v>1328</v>
      </c>
      <c r="F196" s="8" t="s">
        <v>1329</v>
      </c>
      <c r="G196" s="6" t="s">
        <v>119</v>
      </c>
      <c r="H196" s="6" t="s">
        <v>38</v>
      </c>
      <c r="I196" s="8"/>
      <c r="J196" s="9">
        <v>1</v>
      </c>
      <c r="K196" s="9">
        <v>180</v>
      </c>
      <c r="L196" s="9">
        <v>2024</v>
      </c>
      <c r="M196" s="8" t="s">
        <v>1330</v>
      </c>
      <c r="N196" s="8" t="s">
        <v>41</v>
      </c>
      <c r="O196" s="8" t="s">
        <v>42</v>
      </c>
      <c r="P196" s="6" t="s">
        <v>122</v>
      </c>
      <c r="Q196" s="8" t="s">
        <v>186</v>
      </c>
      <c r="R196" s="10" t="s">
        <v>1331</v>
      </c>
      <c r="S196" s="11"/>
      <c r="T196" s="6"/>
      <c r="U196" s="27" t="str">
        <f>HYPERLINK("https://media.infra-m.ru/2117/2117137/cover/2117137.jpg", "Обложка")</f>
        <v>Обложка</v>
      </c>
      <c r="V196" s="27" t="str">
        <f>HYPERLINK("https://znanium.com/catalog/product/1013468", "Ознакомиться")</f>
        <v>Ознакомиться</v>
      </c>
      <c r="W196" s="8" t="s">
        <v>1332</v>
      </c>
      <c r="X196" s="6"/>
      <c r="Y196" s="6"/>
      <c r="Z196" s="6"/>
      <c r="AA196" s="6" t="s">
        <v>106</v>
      </c>
    </row>
    <row r="197" spans="1:27" s="4" customFormat="1" ht="44.1" customHeight="1">
      <c r="A197" s="5">
        <v>0</v>
      </c>
      <c r="B197" s="6" t="s">
        <v>1333</v>
      </c>
      <c r="C197" s="13">
        <v>1364.9</v>
      </c>
      <c r="D197" s="8" t="s">
        <v>1334</v>
      </c>
      <c r="E197" s="8" t="s">
        <v>1335</v>
      </c>
      <c r="F197" s="8" t="s">
        <v>1336</v>
      </c>
      <c r="G197" s="6" t="s">
        <v>92</v>
      </c>
      <c r="H197" s="6" t="s">
        <v>131</v>
      </c>
      <c r="I197" s="8" t="s">
        <v>132</v>
      </c>
      <c r="J197" s="9">
        <v>1</v>
      </c>
      <c r="K197" s="9">
        <v>304</v>
      </c>
      <c r="L197" s="9">
        <v>2023</v>
      </c>
      <c r="M197" s="8" t="s">
        <v>1337</v>
      </c>
      <c r="N197" s="8" t="s">
        <v>41</v>
      </c>
      <c r="O197" s="8" t="s">
        <v>42</v>
      </c>
      <c r="P197" s="6" t="s">
        <v>55</v>
      </c>
      <c r="Q197" s="8" t="s">
        <v>75</v>
      </c>
      <c r="R197" s="10" t="s">
        <v>1003</v>
      </c>
      <c r="S197" s="11"/>
      <c r="T197" s="6"/>
      <c r="U197" s="27" t="str">
        <f>HYPERLINK("https://media.infra-m.ru/1981/1981717/cover/1981717.jpg", "Обложка")</f>
        <v>Обложка</v>
      </c>
      <c r="V197" s="27" t="str">
        <f>HYPERLINK("https://znanium.com/catalog/product/1234910", "Ознакомиться")</f>
        <v>Ознакомиться</v>
      </c>
      <c r="W197" s="8" t="s">
        <v>125</v>
      </c>
      <c r="X197" s="6"/>
      <c r="Y197" s="6"/>
      <c r="Z197" s="6"/>
      <c r="AA197" s="6" t="s">
        <v>114</v>
      </c>
    </row>
    <row r="198" spans="1:27" s="4" customFormat="1" ht="51.95" customHeight="1">
      <c r="A198" s="5">
        <v>0</v>
      </c>
      <c r="B198" s="6" t="s">
        <v>1338</v>
      </c>
      <c r="C198" s="13">
        <v>1040</v>
      </c>
      <c r="D198" s="8" t="s">
        <v>1339</v>
      </c>
      <c r="E198" s="8" t="s">
        <v>1335</v>
      </c>
      <c r="F198" s="8" t="s">
        <v>1340</v>
      </c>
      <c r="G198" s="6" t="s">
        <v>37</v>
      </c>
      <c r="H198" s="6" t="s">
        <v>131</v>
      </c>
      <c r="I198" s="8" t="s">
        <v>53</v>
      </c>
      <c r="J198" s="9">
        <v>1</v>
      </c>
      <c r="K198" s="9">
        <v>304</v>
      </c>
      <c r="L198" s="9">
        <v>2020</v>
      </c>
      <c r="M198" s="8" t="s">
        <v>1341</v>
      </c>
      <c r="N198" s="8" t="s">
        <v>41</v>
      </c>
      <c r="O198" s="8" t="s">
        <v>42</v>
      </c>
      <c r="P198" s="6" t="s">
        <v>55</v>
      </c>
      <c r="Q198" s="8" t="s">
        <v>56</v>
      </c>
      <c r="R198" s="10" t="s">
        <v>528</v>
      </c>
      <c r="S198" s="11" t="s">
        <v>1342</v>
      </c>
      <c r="T198" s="6"/>
      <c r="U198" s="27" t="str">
        <f>HYPERLINK("https://media.infra-m.ru/1077/1077649/cover/1077649.jpg", "Обложка")</f>
        <v>Обложка</v>
      </c>
      <c r="V198" s="27" t="str">
        <f>HYPERLINK("https://znanium.com/catalog/product/1077649", "Ознакомиться")</f>
        <v>Ознакомиться</v>
      </c>
      <c r="W198" s="8" t="s">
        <v>125</v>
      </c>
      <c r="X198" s="6"/>
      <c r="Y198" s="6"/>
      <c r="Z198" s="6" t="s">
        <v>60</v>
      </c>
      <c r="AA198" s="6" t="s">
        <v>61</v>
      </c>
    </row>
    <row r="199" spans="1:27" s="4" customFormat="1" ht="44.1" customHeight="1">
      <c r="A199" s="5">
        <v>0</v>
      </c>
      <c r="B199" s="6" t="s">
        <v>1343</v>
      </c>
      <c r="C199" s="13">
        <v>1364.9</v>
      </c>
      <c r="D199" s="8" t="s">
        <v>1344</v>
      </c>
      <c r="E199" s="8" t="s">
        <v>1345</v>
      </c>
      <c r="F199" s="8" t="s">
        <v>1346</v>
      </c>
      <c r="G199" s="6" t="s">
        <v>119</v>
      </c>
      <c r="H199" s="6" t="s">
        <v>161</v>
      </c>
      <c r="I199" s="8" t="s">
        <v>132</v>
      </c>
      <c r="J199" s="9">
        <v>1</v>
      </c>
      <c r="K199" s="9">
        <v>304</v>
      </c>
      <c r="L199" s="9">
        <v>2023</v>
      </c>
      <c r="M199" s="8" t="s">
        <v>1347</v>
      </c>
      <c r="N199" s="8" t="s">
        <v>41</v>
      </c>
      <c r="O199" s="8" t="s">
        <v>42</v>
      </c>
      <c r="P199" s="6" t="s">
        <v>43</v>
      </c>
      <c r="Q199" s="8" t="s">
        <v>75</v>
      </c>
      <c r="R199" s="10" t="s">
        <v>1348</v>
      </c>
      <c r="S199" s="11"/>
      <c r="T199" s="6"/>
      <c r="U199" s="27" t="str">
        <f>HYPERLINK("https://media.infra-m.ru/2044/2044341/cover/2044341.jpg", "Обложка")</f>
        <v>Обложка</v>
      </c>
      <c r="V199" s="27" t="str">
        <f>HYPERLINK("https://znanium.com/catalog/product/1010657", "Ознакомиться")</f>
        <v>Ознакомиться</v>
      </c>
      <c r="W199" s="8" t="s">
        <v>1349</v>
      </c>
      <c r="X199" s="6"/>
      <c r="Y199" s="6"/>
      <c r="Z199" s="6"/>
      <c r="AA199" s="6" t="s">
        <v>114</v>
      </c>
    </row>
    <row r="200" spans="1:27" s="4" customFormat="1" ht="44.1" customHeight="1">
      <c r="A200" s="5">
        <v>0</v>
      </c>
      <c r="B200" s="6" t="s">
        <v>1350</v>
      </c>
      <c r="C200" s="7">
        <v>900</v>
      </c>
      <c r="D200" s="8" t="s">
        <v>1351</v>
      </c>
      <c r="E200" s="8" t="s">
        <v>1352</v>
      </c>
      <c r="F200" s="8" t="s">
        <v>1353</v>
      </c>
      <c r="G200" s="6" t="s">
        <v>119</v>
      </c>
      <c r="H200" s="6" t="s">
        <v>38</v>
      </c>
      <c r="I200" s="8" t="s">
        <v>120</v>
      </c>
      <c r="J200" s="9">
        <v>1</v>
      </c>
      <c r="K200" s="9">
        <v>196</v>
      </c>
      <c r="L200" s="9">
        <v>2023</v>
      </c>
      <c r="M200" s="8" t="s">
        <v>1354</v>
      </c>
      <c r="N200" s="8" t="s">
        <v>41</v>
      </c>
      <c r="O200" s="8" t="s">
        <v>502</v>
      </c>
      <c r="P200" s="6" t="s">
        <v>122</v>
      </c>
      <c r="Q200" s="8" t="s">
        <v>123</v>
      </c>
      <c r="R200" s="10" t="s">
        <v>1355</v>
      </c>
      <c r="S200" s="11"/>
      <c r="T200" s="6"/>
      <c r="U200" s="27" t="str">
        <f>HYPERLINK("https://media.infra-m.ru/1870/1870591/cover/1870591.jpg", "Обложка")</f>
        <v>Обложка</v>
      </c>
      <c r="V200" s="27" t="str">
        <f>HYPERLINK("https://znanium.com/catalog/product/1870591", "Ознакомиться")</f>
        <v>Ознакомиться</v>
      </c>
      <c r="W200" s="8" t="s">
        <v>46</v>
      </c>
      <c r="X200" s="6"/>
      <c r="Y200" s="6"/>
      <c r="Z200" s="6"/>
      <c r="AA200" s="6" t="s">
        <v>461</v>
      </c>
    </row>
    <row r="201" spans="1:27" s="4" customFormat="1" ht="51.95" customHeight="1">
      <c r="A201" s="5">
        <v>0</v>
      </c>
      <c r="B201" s="6" t="s">
        <v>1356</v>
      </c>
      <c r="C201" s="13">
        <v>1400</v>
      </c>
      <c r="D201" s="8" t="s">
        <v>1357</v>
      </c>
      <c r="E201" s="8" t="s">
        <v>1358</v>
      </c>
      <c r="F201" s="8" t="s">
        <v>1359</v>
      </c>
      <c r="G201" s="6" t="s">
        <v>119</v>
      </c>
      <c r="H201" s="6" t="s">
        <v>38</v>
      </c>
      <c r="I201" s="8" t="s">
        <v>120</v>
      </c>
      <c r="J201" s="9">
        <v>1</v>
      </c>
      <c r="K201" s="9">
        <v>304</v>
      </c>
      <c r="L201" s="9">
        <v>2024</v>
      </c>
      <c r="M201" s="8" t="s">
        <v>1360</v>
      </c>
      <c r="N201" s="8" t="s">
        <v>41</v>
      </c>
      <c r="O201" s="8" t="s">
        <v>42</v>
      </c>
      <c r="P201" s="6" t="s">
        <v>122</v>
      </c>
      <c r="Q201" s="8" t="s">
        <v>123</v>
      </c>
      <c r="R201" s="10" t="s">
        <v>1361</v>
      </c>
      <c r="S201" s="11"/>
      <c r="T201" s="6"/>
      <c r="U201" s="27" t="str">
        <f>HYPERLINK("https://media.infra-m.ru/2117/2117113/cover/2117113.jpg", "Обложка")</f>
        <v>Обложка</v>
      </c>
      <c r="V201" s="27" t="str">
        <f>HYPERLINK("https://znanium.com/catalog/product/2117113", "Ознакомиться")</f>
        <v>Ознакомиться</v>
      </c>
      <c r="W201" s="8" t="s">
        <v>1362</v>
      </c>
      <c r="X201" s="6"/>
      <c r="Y201" s="6"/>
      <c r="Z201" s="6"/>
      <c r="AA201" s="6" t="s">
        <v>47</v>
      </c>
    </row>
    <row r="202" spans="1:27" s="4" customFormat="1" ht="51.95" customHeight="1">
      <c r="A202" s="5">
        <v>0</v>
      </c>
      <c r="B202" s="6" t="s">
        <v>1363</v>
      </c>
      <c r="C202" s="7">
        <v>544.9</v>
      </c>
      <c r="D202" s="8" t="s">
        <v>1364</v>
      </c>
      <c r="E202" s="8" t="s">
        <v>1365</v>
      </c>
      <c r="F202" s="8" t="s">
        <v>1366</v>
      </c>
      <c r="G202" s="6" t="s">
        <v>92</v>
      </c>
      <c r="H202" s="6" t="s">
        <v>717</v>
      </c>
      <c r="I202" s="8" t="s">
        <v>132</v>
      </c>
      <c r="J202" s="9">
        <v>1</v>
      </c>
      <c r="K202" s="9">
        <v>144</v>
      </c>
      <c r="L202" s="9">
        <v>2022</v>
      </c>
      <c r="M202" s="8" t="s">
        <v>1367</v>
      </c>
      <c r="N202" s="8" t="s">
        <v>41</v>
      </c>
      <c r="O202" s="8" t="s">
        <v>502</v>
      </c>
      <c r="P202" s="6" t="s">
        <v>55</v>
      </c>
      <c r="Q202" s="8" t="s">
        <v>75</v>
      </c>
      <c r="R202" s="10" t="s">
        <v>1368</v>
      </c>
      <c r="S202" s="11" t="s">
        <v>635</v>
      </c>
      <c r="T202" s="6"/>
      <c r="U202" s="27" t="str">
        <f>HYPERLINK("https://media.infra-m.ru/1841/1841670/cover/1841670.jpg", "Обложка")</f>
        <v>Обложка</v>
      </c>
      <c r="V202" s="27" t="str">
        <f>HYPERLINK("https://znanium.com/catalog/product/1002614", "Ознакомиться")</f>
        <v>Ознакомиться</v>
      </c>
      <c r="W202" s="8"/>
      <c r="X202" s="6"/>
      <c r="Y202" s="6"/>
      <c r="Z202" s="6"/>
      <c r="AA202" s="6" t="s">
        <v>47</v>
      </c>
    </row>
    <row r="203" spans="1:27" s="4" customFormat="1" ht="44.1" customHeight="1">
      <c r="A203" s="5">
        <v>0</v>
      </c>
      <c r="B203" s="6" t="s">
        <v>1369</v>
      </c>
      <c r="C203" s="13">
        <v>1050</v>
      </c>
      <c r="D203" s="8" t="s">
        <v>1370</v>
      </c>
      <c r="E203" s="8" t="s">
        <v>1371</v>
      </c>
      <c r="F203" s="8" t="s">
        <v>1372</v>
      </c>
      <c r="G203" s="6" t="s">
        <v>119</v>
      </c>
      <c r="H203" s="6" t="s">
        <v>38</v>
      </c>
      <c r="I203" s="8" t="s">
        <v>120</v>
      </c>
      <c r="J203" s="9">
        <v>1</v>
      </c>
      <c r="K203" s="9">
        <v>227</v>
      </c>
      <c r="L203" s="9">
        <v>2023</v>
      </c>
      <c r="M203" s="8" t="s">
        <v>1373</v>
      </c>
      <c r="N203" s="8" t="s">
        <v>41</v>
      </c>
      <c r="O203" s="8" t="s">
        <v>42</v>
      </c>
      <c r="P203" s="6" t="s">
        <v>122</v>
      </c>
      <c r="Q203" s="8" t="s">
        <v>123</v>
      </c>
      <c r="R203" s="10" t="s">
        <v>1374</v>
      </c>
      <c r="S203" s="11"/>
      <c r="T203" s="6" t="s">
        <v>59</v>
      </c>
      <c r="U203" s="27" t="str">
        <f>HYPERLINK("https://media.infra-m.ru/1933/1933133/cover/1933133.jpg", "Обложка")</f>
        <v>Обложка</v>
      </c>
      <c r="V203" s="27" t="str">
        <f>HYPERLINK("https://znanium.com/catalog/product/1933133", "Ознакомиться")</f>
        <v>Ознакомиться</v>
      </c>
      <c r="W203" s="8" t="s">
        <v>1375</v>
      </c>
      <c r="X203" s="6"/>
      <c r="Y203" s="6"/>
      <c r="Z203" s="6"/>
      <c r="AA203" s="6" t="s">
        <v>382</v>
      </c>
    </row>
    <row r="204" spans="1:27" s="4" customFormat="1" ht="51.95" customHeight="1">
      <c r="A204" s="5">
        <v>0</v>
      </c>
      <c r="B204" s="6" t="s">
        <v>1376</v>
      </c>
      <c r="C204" s="13">
        <v>1724.9</v>
      </c>
      <c r="D204" s="8" t="s">
        <v>1377</v>
      </c>
      <c r="E204" s="8" t="s">
        <v>1378</v>
      </c>
      <c r="F204" s="8" t="s">
        <v>1379</v>
      </c>
      <c r="G204" s="6" t="s">
        <v>92</v>
      </c>
      <c r="H204" s="6" t="s">
        <v>93</v>
      </c>
      <c r="I204" s="8"/>
      <c r="J204" s="9">
        <v>1</v>
      </c>
      <c r="K204" s="9">
        <v>384</v>
      </c>
      <c r="L204" s="9">
        <v>2023</v>
      </c>
      <c r="M204" s="8" t="s">
        <v>1380</v>
      </c>
      <c r="N204" s="8" t="s">
        <v>41</v>
      </c>
      <c r="O204" s="8" t="s">
        <v>42</v>
      </c>
      <c r="P204" s="6" t="s">
        <v>43</v>
      </c>
      <c r="Q204" s="8" t="s">
        <v>75</v>
      </c>
      <c r="R204" s="10" t="s">
        <v>1381</v>
      </c>
      <c r="S204" s="11"/>
      <c r="T204" s="6"/>
      <c r="U204" s="27" t="str">
        <f>HYPERLINK("https://media.infra-m.ru/2044/2044325/cover/2044325.jpg", "Обложка")</f>
        <v>Обложка</v>
      </c>
      <c r="V204" s="27" t="str">
        <f>HYPERLINK("https://znanium.com/catalog/product/1067398", "Ознакомиться")</f>
        <v>Ознакомиться</v>
      </c>
      <c r="W204" s="8" t="s">
        <v>762</v>
      </c>
      <c r="X204" s="6"/>
      <c r="Y204" s="6"/>
      <c r="Z204" s="6"/>
      <c r="AA204" s="6" t="s">
        <v>150</v>
      </c>
    </row>
    <row r="205" spans="1:27" s="4" customFormat="1" ht="51.95" customHeight="1">
      <c r="A205" s="5">
        <v>0</v>
      </c>
      <c r="B205" s="6" t="s">
        <v>1382</v>
      </c>
      <c r="C205" s="7">
        <v>474</v>
      </c>
      <c r="D205" s="8" t="s">
        <v>1383</v>
      </c>
      <c r="E205" s="8" t="s">
        <v>1384</v>
      </c>
      <c r="F205" s="8" t="s">
        <v>1385</v>
      </c>
      <c r="G205" s="6" t="s">
        <v>119</v>
      </c>
      <c r="H205" s="6" t="s">
        <v>131</v>
      </c>
      <c r="I205" s="8"/>
      <c r="J205" s="9">
        <v>1</v>
      </c>
      <c r="K205" s="9">
        <v>96</v>
      </c>
      <c r="L205" s="9">
        <v>2024</v>
      </c>
      <c r="M205" s="8" t="s">
        <v>1386</v>
      </c>
      <c r="N205" s="8" t="s">
        <v>41</v>
      </c>
      <c r="O205" s="8" t="s">
        <v>42</v>
      </c>
      <c r="P205" s="6" t="s">
        <v>43</v>
      </c>
      <c r="Q205" s="8" t="s">
        <v>75</v>
      </c>
      <c r="R205" s="10" t="s">
        <v>1387</v>
      </c>
      <c r="S205" s="11" t="s">
        <v>1388</v>
      </c>
      <c r="T205" s="6"/>
      <c r="U205" s="27" t="str">
        <f>HYPERLINK("https://media.infra-m.ru/2056/2056717/cover/2056717.jpg", "Обложка")</f>
        <v>Обложка</v>
      </c>
      <c r="V205" s="27" t="str">
        <f>HYPERLINK("https://znanium.com/catalog/product/1844300", "Ознакомиться")</f>
        <v>Ознакомиться</v>
      </c>
      <c r="W205" s="8" t="s">
        <v>125</v>
      </c>
      <c r="X205" s="6"/>
      <c r="Y205" s="6"/>
      <c r="Z205" s="6"/>
      <c r="AA205" s="6" t="s">
        <v>114</v>
      </c>
    </row>
    <row r="206" spans="1:27" s="4" customFormat="1" ht="51.95" customHeight="1">
      <c r="A206" s="5">
        <v>0</v>
      </c>
      <c r="B206" s="6" t="s">
        <v>1389</v>
      </c>
      <c r="C206" s="7">
        <v>650</v>
      </c>
      <c r="D206" s="8" t="s">
        <v>1390</v>
      </c>
      <c r="E206" s="8" t="s">
        <v>1391</v>
      </c>
      <c r="F206" s="8" t="s">
        <v>1392</v>
      </c>
      <c r="G206" s="6" t="s">
        <v>119</v>
      </c>
      <c r="H206" s="6" t="s">
        <v>38</v>
      </c>
      <c r="I206" s="8" t="s">
        <v>53</v>
      </c>
      <c r="J206" s="9">
        <v>1</v>
      </c>
      <c r="K206" s="9">
        <v>136</v>
      </c>
      <c r="L206" s="9">
        <v>2023</v>
      </c>
      <c r="M206" s="8" t="s">
        <v>1393</v>
      </c>
      <c r="N206" s="8" t="s">
        <v>41</v>
      </c>
      <c r="O206" s="8" t="s">
        <v>401</v>
      </c>
      <c r="P206" s="6" t="s">
        <v>43</v>
      </c>
      <c r="Q206" s="8" t="s">
        <v>56</v>
      </c>
      <c r="R206" s="10" t="s">
        <v>1394</v>
      </c>
      <c r="S206" s="11" t="s">
        <v>1306</v>
      </c>
      <c r="T206" s="6"/>
      <c r="U206" s="27" t="str">
        <f>HYPERLINK("https://media.infra-m.ru/1911/1911729/cover/1911729.jpg", "Обложка")</f>
        <v>Обложка</v>
      </c>
      <c r="V206" s="27" t="str">
        <f>HYPERLINK("https://znanium.com/catalog/product/1911729", "Ознакомиться")</f>
        <v>Ознакомиться</v>
      </c>
      <c r="W206" s="8" t="s">
        <v>1395</v>
      </c>
      <c r="X206" s="6"/>
      <c r="Y206" s="6"/>
      <c r="Z206" s="6" t="s">
        <v>60</v>
      </c>
      <c r="AA206" s="6" t="s">
        <v>126</v>
      </c>
    </row>
    <row r="207" spans="1:27" s="4" customFormat="1" ht="51.95" customHeight="1">
      <c r="A207" s="5">
        <v>0</v>
      </c>
      <c r="B207" s="6" t="s">
        <v>1396</v>
      </c>
      <c r="C207" s="7">
        <v>614.9</v>
      </c>
      <c r="D207" s="8" t="s">
        <v>1397</v>
      </c>
      <c r="E207" s="8" t="s">
        <v>1391</v>
      </c>
      <c r="F207" s="8" t="s">
        <v>1392</v>
      </c>
      <c r="G207" s="6" t="s">
        <v>119</v>
      </c>
      <c r="H207" s="6" t="s">
        <v>38</v>
      </c>
      <c r="I207" s="8" t="s">
        <v>73</v>
      </c>
      <c r="J207" s="9">
        <v>1</v>
      </c>
      <c r="K207" s="9">
        <v>136</v>
      </c>
      <c r="L207" s="9">
        <v>2023</v>
      </c>
      <c r="M207" s="8" t="s">
        <v>1398</v>
      </c>
      <c r="N207" s="8" t="s">
        <v>41</v>
      </c>
      <c r="O207" s="8" t="s">
        <v>401</v>
      </c>
      <c r="P207" s="6" t="s">
        <v>43</v>
      </c>
      <c r="Q207" s="8" t="s">
        <v>75</v>
      </c>
      <c r="R207" s="10" t="s">
        <v>1399</v>
      </c>
      <c r="S207" s="11" t="s">
        <v>1400</v>
      </c>
      <c r="T207" s="6"/>
      <c r="U207" s="27" t="str">
        <f>HYPERLINK("https://media.infra-m.ru/2002/2002655/cover/2002655.jpg", "Обложка")</f>
        <v>Обложка</v>
      </c>
      <c r="V207" s="27" t="str">
        <f>HYPERLINK("https://znanium.com/catalog/product/1179524", "Ознакомиться")</f>
        <v>Ознакомиться</v>
      </c>
      <c r="W207" s="8" t="s">
        <v>1395</v>
      </c>
      <c r="X207" s="6"/>
      <c r="Y207" s="6"/>
      <c r="Z207" s="6"/>
      <c r="AA207" s="6" t="s">
        <v>222</v>
      </c>
    </row>
    <row r="208" spans="1:27" s="4" customFormat="1" ht="51.95" customHeight="1">
      <c r="A208" s="5">
        <v>0</v>
      </c>
      <c r="B208" s="6" t="s">
        <v>1401</v>
      </c>
      <c r="C208" s="13">
        <v>1994</v>
      </c>
      <c r="D208" s="8" t="s">
        <v>1402</v>
      </c>
      <c r="E208" s="8" t="s">
        <v>1403</v>
      </c>
      <c r="F208" s="8" t="s">
        <v>1404</v>
      </c>
      <c r="G208" s="6" t="s">
        <v>37</v>
      </c>
      <c r="H208" s="6" t="s">
        <v>161</v>
      </c>
      <c r="I208" s="8" t="s">
        <v>53</v>
      </c>
      <c r="J208" s="9">
        <v>1</v>
      </c>
      <c r="K208" s="9">
        <v>432</v>
      </c>
      <c r="L208" s="9">
        <v>2024</v>
      </c>
      <c r="M208" s="8" t="s">
        <v>1405</v>
      </c>
      <c r="N208" s="8" t="s">
        <v>41</v>
      </c>
      <c r="O208" s="8" t="s">
        <v>502</v>
      </c>
      <c r="P208" s="6" t="s">
        <v>43</v>
      </c>
      <c r="Q208" s="8" t="s">
        <v>56</v>
      </c>
      <c r="R208" s="10" t="s">
        <v>417</v>
      </c>
      <c r="S208" s="11" t="s">
        <v>1406</v>
      </c>
      <c r="T208" s="6"/>
      <c r="U208" s="27" t="str">
        <f>HYPERLINK("https://media.infra-m.ru/2104/2104860/cover/2104860.jpg", "Обложка")</f>
        <v>Обложка</v>
      </c>
      <c r="V208" s="27" t="str">
        <f>HYPERLINK("https://znanium.com/catalog/product/2095041", "Ознакомиться")</f>
        <v>Ознакомиться</v>
      </c>
      <c r="W208" s="8" t="s">
        <v>1407</v>
      </c>
      <c r="X208" s="6"/>
      <c r="Y208" s="6"/>
      <c r="Z208" s="6" t="s">
        <v>60</v>
      </c>
      <c r="AA208" s="6" t="s">
        <v>126</v>
      </c>
    </row>
    <row r="209" spans="1:27" s="4" customFormat="1" ht="51.95" customHeight="1">
      <c r="A209" s="5">
        <v>0</v>
      </c>
      <c r="B209" s="6" t="s">
        <v>1408</v>
      </c>
      <c r="C209" s="13">
        <v>1950</v>
      </c>
      <c r="D209" s="8" t="s">
        <v>1409</v>
      </c>
      <c r="E209" s="8" t="s">
        <v>1403</v>
      </c>
      <c r="F209" s="8" t="s">
        <v>1404</v>
      </c>
      <c r="G209" s="6" t="s">
        <v>92</v>
      </c>
      <c r="H209" s="6" t="s">
        <v>161</v>
      </c>
      <c r="I209" s="8" t="s">
        <v>132</v>
      </c>
      <c r="J209" s="9">
        <v>1</v>
      </c>
      <c r="K209" s="9">
        <v>432</v>
      </c>
      <c r="L209" s="9">
        <v>2023</v>
      </c>
      <c r="M209" s="8" t="s">
        <v>1410</v>
      </c>
      <c r="N209" s="8" t="s">
        <v>41</v>
      </c>
      <c r="O209" s="8" t="s">
        <v>502</v>
      </c>
      <c r="P209" s="6" t="s">
        <v>43</v>
      </c>
      <c r="Q209" s="8" t="s">
        <v>75</v>
      </c>
      <c r="R209" s="10" t="s">
        <v>557</v>
      </c>
      <c r="S209" s="11" t="s">
        <v>1411</v>
      </c>
      <c r="T209" s="6"/>
      <c r="U209" s="27" t="str">
        <f>HYPERLINK("https://media.infra-m.ru/1856/1856703/cover/1856703.jpg", "Обложка")</f>
        <v>Обложка</v>
      </c>
      <c r="V209" s="27" t="str">
        <f>HYPERLINK("https://znanium.com/catalog/product/1856703", "Ознакомиться")</f>
        <v>Ознакомиться</v>
      </c>
      <c r="W209" s="8" t="s">
        <v>1407</v>
      </c>
      <c r="X209" s="6"/>
      <c r="Y209" s="6"/>
      <c r="Z209" s="6"/>
      <c r="AA209" s="6" t="s">
        <v>346</v>
      </c>
    </row>
    <row r="210" spans="1:27" s="4" customFormat="1" ht="51.95" customHeight="1">
      <c r="A210" s="5">
        <v>0</v>
      </c>
      <c r="B210" s="6" t="s">
        <v>1412</v>
      </c>
      <c r="C210" s="13">
        <v>1860</v>
      </c>
      <c r="D210" s="8" t="s">
        <v>1413</v>
      </c>
      <c r="E210" s="8" t="s">
        <v>1414</v>
      </c>
      <c r="F210" s="8" t="s">
        <v>1415</v>
      </c>
      <c r="G210" s="6" t="s">
        <v>37</v>
      </c>
      <c r="H210" s="6" t="s">
        <v>93</v>
      </c>
      <c r="I210" s="8"/>
      <c r="J210" s="9">
        <v>1</v>
      </c>
      <c r="K210" s="9">
        <v>400</v>
      </c>
      <c r="L210" s="9">
        <v>2024</v>
      </c>
      <c r="M210" s="8" t="s">
        <v>1416</v>
      </c>
      <c r="N210" s="8" t="s">
        <v>41</v>
      </c>
      <c r="O210" s="8" t="s">
        <v>42</v>
      </c>
      <c r="P210" s="6" t="s">
        <v>43</v>
      </c>
      <c r="Q210" s="8" t="s">
        <v>75</v>
      </c>
      <c r="R210" s="10" t="s">
        <v>1417</v>
      </c>
      <c r="S210" s="11" t="s">
        <v>1418</v>
      </c>
      <c r="T210" s="6"/>
      <c r="U210" s="27" t="str">
        <f>HYPERLINK("https://media.infra-m.ru/2099/2099068/cover/2099068.jpg", "Обложка")</f>
        <v>Обложка</v>
      </c>
      <c r="V210" s="27" t="str">
        <f>HYPERLINK("https://znanium.com/catalog/product/2099068", "Ознакомиться")</f>
        <v>Ознакомиться</v>
      </c>
      <c r="W210" s="8" t="s">
        <v>762</v>
      </c>
      <c r="X210" s="6"/>
      <c r="Y210" s="6"/>
      <c r="Z210" s="6"/>
      <c r="AA210" s="6" t="s">
        <v>47</v>
      </c>
    </row>
    <row r="211" spans="1:27" s="4" customFormat="1" ht="44.1" customHeight="1">
      <c r="A211" s="5">
        <v>0</v>
      </c>
      <c r="B211" s="6" t="s">
        <v>1419</v>
      </c>
      <c r="C211" s="7">
        <v>720</v>
      </c>
      <c r="D211" s="8" t="s">
        <v>1420</v>
      </c>
      <c r="E211" s="8" t="s">
        <v>1421</v>
      </c>
      <c r="F211" s="8" t="s">
        <v>1422</v>
      </c>
      <c r="G211" s="6" t="s">
        <v>119</v>
      </c>
      <c r="H211" s="6" t="s">
        <v>161</v>
      </c>
      <c r="I211" s="8" t="s">
        <v>73</v>
      </c>
      <c r="J211" s="9">
        <v>1</v>
      </c>
      <c r="K211" s="9">
        <v>160</v>
      </c>
      <c r="L211" s="9">
        <v>2022</v>
      </c>
      <c r="M211" s="8" t="s">
        <v>1423</v>
      </c>
      <c r="N211" s="8" t="s">
        <v>41</v>
      </c>
      <c r="O211" s="8" t="s">
        <v>401</v>
      </c>
      <c r="P211" s="6" t="s">
        <v>43</v>
      </c>
      <c r="Q211" s="8" t="s">
        <v>75</v>
      </c>
      <c r="R211" s="10" t="s">
        <v>1424</v>
      </c>
      <c r="S211" s="11"/>
      <c r="T211" s="6"/>
      <c r="U211" s="27" t="str">
        <f>HYPERLINK("https://media.infra-m.ru/1947/1947400/cover/1947400.jpg", "Обложка")</f>
        <v>Обложка</v>
      </c>
      <c r="V211" s="27" t="str">
        <f>HYPERLINK("https://znanium.com/catalog/product/1042458", "Ознакомиться")</f>
        <v>Ознакомиться</v>
      </c>
      <c r="W211" s="8" t="s">
        <v>1425</v>
      </c>
      <c r="X211" s="6"/>
      <c r="Y211" s="6"/>
      <c r="Z211" s="6"/>
      <c r="AA211" s="6" t="s">
        <v>150</v>
      </c>
    </row>
    <row r="212" spans="1:27" s="4" customFormat="1" ht="42" customHeight="1">
      <c r="A212" s="5">
        <v>0</v>
      </c>
      <c r="B212" s="6" t="s">
        <v>1426</v>
      </c>
      <c r="C212" s="13">
        <v>1444.9</v>
      </c>
      <c r="D212" s="8" t="s">
        <v>1427</v>
      </c>
      <c r="E212" s="8" t="s">
        <v>1428</v>
      </c>
      <c r="F212" s="8" t="s">
        <v>1429</v>
      </c>
      <c r="G212" s="6" t="s">
        <v>92</v>
      </c>
      <c r="H212" s="6" t="s">
        <v>1430</v>
      </c>
      <c r="I212" s="8"/>
      <c r="J212" s="9">
        <v>1</v>
      </c>
      <c r="K212" s="9">
        <v>320</v>
      </c>
      <c r="L212" s="9">
        <v>2023</v>
      </c>
      <c r="M212" s="8" t="s">
        <v>1431</v>
      </c>
      <c r="N212" s="8" t="s">
        <v>41</v>
      </c>
      <c r="O212" s="8" t="s">
        <v>42</v>
      </c>
      <c r="P212" s="6" t="s">
        <v>55</v>
      </c>
      <c r="Q212" s="8" t="s">
        <v>56</v>
      </c>
      <c r="R212" s="10" t="s">
        <v>1432</v>
      </c>
      <c r="S212" s="11"/>
      <c r="T212" s="6"/>
      <c r="U212" s="27" t="str">
        <f>HYPERLINK("https://media.infra-m.ru/1876/1876489/cover/1876489.jpg", "Обложка")</f>
        <v>Обложка</v>
      </c>
      <c r="V212" s="27" t="str">
        <f>HYPERLINK("https://znanium.com/catalog/product/1174607", "Ознакомиться")</f>
        <v>Ознакомиться</v>
      </c>
      <c r="W212" s="8" t="s">
        <v>314</v>
      </c>
      <c r="X212" s="6"/>
      <c r="Y212" s="6"/>
      <c r="Z212" s="6"/>
      <c r="AA212" s="6" t="s">
        <v>61</v>
      </c>
    </row>
    <row r="213" spans="1:27" s="4" customFormat="1" ht="51.95" customHeight="1">
      <c r="A213" s="5">
        <v>0</v>
      </c>
      <c r="B213" s="6" t="s">
        <v>1433</v>
      </c>
      <c r="C213" s="7">
        <v>894</v>
      </c>
      <c r="D213" s="8" t="s">
        <v>1434</v>
      </c>
      <c r="E213" s="8" t="s">
        <v>1435</v>
      </c>
      <c r="F213" s="8" t="s">
        <v>1436</v>
      </c>
      <c r="G213" s="6" t="s">
        <v>92</v>
      </c>
      <c r="H213" s="6" t="s">
        <v>38</v>
      </c>
      <c r="I213" s="8" t="s">
        <v>73</v>
      </c>
      <c r="J213" s="9">
        <v>1</v>
      </c>
      <c r="K213" s="9">
        <v>194</v>
      </c>
      <c r="L213" s="9">
        <v>2024</v>
      </c>
      <c r="M213" s="8" t="s">
        <v>1437</v>
      </c>
      <c r="N213" s="8" t="s">
        <v>41</v>
      </c>
      <c r="O213" s="8" t="s">
        <v>42</v>
      </c>
      <c r="P213" s="6" t="s">
        <v>43</v>
      </c>
      <c r="Q213" s="8" t="s">
        <v>75</v>
      </c>
      <c r="R213" s="10" t="s">
        <v>1438</v>
      </c>
      <c r="S213" s="11" t="s">
        <v>1439</v>
      </c>
      <c r="T213" s="6"/>
      <c r="U213" s="27" t="str">
        <f>HYPERLINK("https://media.infra-m.ru/2091/2091436/cover/2091436.jpg", "Обложка")</f>
        <v>Обложка</v>
      </c>
      <c r="V213" s="27" t="str">
        <f>HYPERLINK("https://znanium.com/catalog/product/2084151", "Ознакомиться")</f>
        <v>Ознакомиться</v>
      </c>
      <c r="W213" s="8" t="s">
        <v>221</v>
      </c>
      <c r="X213" s="6"/>
      <c r="Y213" s="6"/>
      <c r="Z213" s="6"/>
      <c r="AA213" s="6" t="s">
        <v>1440</v>
      </c>
    </row>
    <row r="214" spans="1:27" s="4" customFormat="1" ht="51.95" customHeight="1">
      <c r="A214" s="5">
        <v>0</v>
      </c>
      <c r="B214" s="6" t="s">
        <v>1441</v>
      </c>
      <c r="C214" s="7">
        <v>470</v>
      </c>
      <c r="D214" s="8" t="s">
        <v>1442</v>
      </c>
      <c r="E214" s="8" t="s">
        <v>1443</v>
      </c>
      <c r="F214" s="8" t="s">
        <v>1436</v>
      </c>
      <c r="G214" s="6" t="s">
        <v>119</v>
      </c>
      <c r="H214" s="6" t="s">
        <v>38</v>
      </c>
      <c r="I214" s="8" t="s">
        <v>73</v>
      </c>
      <c r="J214" s="9">
        <v>1</v>
      </c>
      <c r="K214" s="9">
        <v>136</v>
      </c>
      <c r="L214" s="9">
        <v>2019</v>
      </c>
      <c r="M214" s="8" t="s">
        <v>1444</v>
      </c>
      <c r="N214" s="8" t="s">
        <v>41</v>
      </c>
      <c r="O214" s="8" t="s">
        <v>42</v>
      </c>
      <c r="P214" s="6" t="s">
        <v>43</v>
      </c>
      <c r="Q214" s="8" t="s">
        <v>75</v>
      </c>
      <c r="R214" s="10" t="s">
        <v>1438</v>
      </c>
      <c r="S214" s="11" t="s">
        <v>1439</v>
      </c>
      <c r="T214" s="6"/>
      <c r="U214" s="27" t="str">
        <f>HYPERLINK("https://media.infra-m.ru/1012/1012937/cover/1012937.jpg", "Обложка")</f>
        <v>Обложка</v>
      </c>
      <c r="V214" s="27" t="str">
        <f>HYPERLINK("https://znanium.com/catalog/product/2084151", "Ознакомиться")</f>
        <v>Ознакомиться</v>
      </c>
      <c r="W214" s="8" t="s">
        <v>221</v>
      </c>
      <c r="X214" s="6"/>
      <c r="Y214" s="6"/>
      <c r="Z214" s="6"/>
      <c r="AA214" s="6" t="s">
        <v>87</v>
      </c>
    </row>
    <row r="215" spans="1:27" s="4" customFormat="1" ht="51.95" customHeight="1">
      <c r="A215" s="5">
        <v>0</v>
      </c>
      <c r="B215" s="6" t="s">
        <v>1445</v>
      </c>
      <c r="C215" s="7">
        <v>124.9</v>
      </c>
      <c r="D215" s="8" t="s">
        <v>1446</v>
      </c>
      <c r="E215" s="8" t="s">
        <v>1447</v>
      </c>
      <c r="F215" s="8" t="s">
        <v>1448</v>
      </c>
      <c r="G215" s="6" t="s">
        <v>26</v>
      </c>
      <c r="H215" s="6" t="s">
        <v>209</v>
      </c>
      <c r="I215" s="8" t="s">
        <v>263</v>
      </c>
      <c r="J215" s="9">
        <v>1</v>
      </c>
      <c r="K215" s="9">
        <v>97</v>
      </c>
      <c r="L215" s="9">
        <v>2016</v>
      </c>
      <c r="M215" s="8" t="s">
        <v>1449</v>
      </c>
      <c r="N215" s="8" t="s">
        <v>41</v>
      </c>
      <c r="O215" s="8" t="s">
        <v>42</v>
      </c>
      <c r="P215" s="6" t="s">
        <v>43</v>
      </c>
      <c r="Q215" s="8" t="s">
        <v>75</v>
      </c>
      <c r="R215" s="10" t="s">
        <v>1450</v>
      </c>
      <c r="S215" s="11"/>
      <c r="T215" s="6"/>
      <c r="U215" s="27" t="str">
        <f>HYPERLINK("https://media.infra-m.ru/0525/0525404/cover/525404.jpg", "Обложка")</f>
        <v>Обложка</v>
      </c>
      <c r="V215" s="27" t="str">
        <f>HYPERLINK("https://znanium.com/catalog/product/525404", "Ознакомиться")</f>
        <v>Ознакомиться</v>
      </c>
      <c r="W215" s="8" t="s">
        <v>1451</v>
      </c>
      <c r="X215" s="6"/>
      <c r="Y215" s="6"/>
      <c r="Z215" s="6"/>
      <c r="AA215" s="6" t="s">
        <v>469</v>
      </c>
    </row>
    <row r="216" spans="1:27" s="4" customFormat="1" ht="51.95" customHeight="1">
      <c r="A216" s="5">
        <v>0</v>
      </c>
      <c r="B216" s="6" t="s">
        <v>1452</v>
      </c>
      <c r="C216" s="13">
        <v>1214.9000000000001</v>
      </c>
      <c r="D216" s="8" t="s">
        <v>1453</v>
      </c>
      <c r="E216" s="8" t="s">
        <v>1454</v>
      </c>
      <c r="F216" s="8" t="s">
        <v>1455</v>
      </c>
      <c r="G216" s="6" t="s">
        <v>92</v>
      </c>
      <c r="H216" s="6" t="s">
        <v>93</v>
      </c>
      <c r="I216" s="8"/>
      <c r="J216" s="9">
        <v>1</v>
      </c>
      <c r="K216" s="9">
        <v>320</v>
      </c>
      <c r="L216" s="9">
        <v>2022</v>
      </c>
      <c r="M216" s="8" t="s">
        <v>1456</v>
      </c>
      <c r="N216" s="8" t="s">
        <v>41</v>
      </c>
      <c r="O216" s="8" t="s">
        <v>42</v>
      </c>
      <c r="P216" s="6" t="s">
        <v>43</v>
      </c>
      <c r="Q216" s="8" t="s">
        <v>75</v>
      </c>
      <c r="R216" s="10" t="s">
        <v>634</v>
      </c>
      <c r="S216" s="11" t="s">
        <v>1457</v>
      </c>
      <c r="T216" s="6"/>
      <c r="U216" s="27" t="str">
        <f>HYPERLINK("https://media.infra-m.ru/1841/1841702/cover/1841702.jpg", "Обложка")</f>
        <v>Обложка</v>
      </c>
      <c r="V216" s="27" t="str">
        <f>HYPERLINK("https://znanium.com/catalog/product/933888", "Ознакомиться")</f>
        <v>Ознакомиться</v>
      </c>
      <c r="W216" s="8" t="s">
        <v>762</v>
      </c>
      <c r="X216" s="6"/>
      <c r="Y216" s="6"/>
      <c r="Z216" s="6"/>
      <c r="AA216" s="6" t="s">
        <v>47</v>
      </c>
    </row>
    <row r="217" spans="1:27" s="4" customFormat="1" ht="44.1" customHeight="1">
      <c r="A217" s="5">
        <v>0</v>
      </c>
      <c r="B217" s="6" t="s">
        <v>1458</v>
      </c>
      <c r="C217" s="13">
        <v>1364.9</v>
      </c>
      <c r="D217" s="8" t="s">
        <v>1459</v>
      </c>
      <c r="E217" s="8" t="s">
        <v>1460</v>
      </c>
      <c r="F217" s="8" t="s">
        <v>1461</v>
      </c>
      <c r="G217" s="6" t="s">
        <v>92</v>
      </c>
      <c r="H217" s="6" t="s">
        <v>131</v>
      </c>
      <c r="I217" s="8" t="s">
        <v>132</v>
      </c>
      <c r="J217" s="9">
        <v>1</v>
      </c>
      <c r="K217" s="9">
        <v>304</v>
      </c>
      <c r="L217" s="9">
        <v>2023</v>
      </c>
      <c r="M217" s="8" t="s">
        <v>1462</v>
      </c>
      <c r="N217" s="8" t="s">
        <v>41</v>
      </c>
      <c r="O217" s="8" t="s">
        <v>42</v>
      </c>
      <c r="P217" s="6" t="s">
        <v>43</v>
      </c>
      <c r="Q217" s="8" t="s">
        <v>75</v>
      </c>
      <c r="R217" s="10" t="s">
        <v>1312</v>
      </c>
      <c r="S217" s="11"/>
      <c r="T217" s="6"/>
      <c r="U217" s="27" t="str">
        <f>HYPERLINK("https://media.infra-m.ru/1911/1911822/cover/1911822.jpg", "Обложка")</f>
        <v>Обложка</v>
      </c>
      <c r="V217" s="27" t="str">
        <f>HYPERLINK("https://znanium.com/catalog/product/939285", "Ознакомиться")</f>
        <v>Ознакомиться</v>
      </c>
      <c r="W217" s="8" t="s">
        <v>125</v>
      </c>
      <c r="X217" s="6"/>
      <c r="Y217" s="6"/>
      <c r="Z217" s="6"/>
      <c r="AA217" s="6" t="s">
        <v>106</v>
      </c>
    </row>
    <row r="218" spans="1:27" s="4" customFormat="1" ht="51.95" customHeight="1">
      <c r="A218" s="5">
        <v>0</v>
      </c>
      <c r="B218" s="6" t="s">
        <v>1463</v>
      </c>
      <c r="C218" s="13">
        <v>2400</v>
      </c>
      <c r="D218" s="8" t="s">
        <v>1464</v>
      </c>
      <c r="E218" s="8" t="s">
        <v>1465</v>
      </c>
      <c r="F218" s="8" t="s">
        <v>1466</v>
      </c>
      <c r="G218" s="6" t="s">
        <v>37</v>
      </c>
      <c r="H218" s="6" t="s">
        <v>38</v>
      </c>
      <c r="I218" s="8" t="s">
        <v>1467</v>
      </c>
      <c r="J218" s="9">
        <v>1</v>
      </c>
      <c r="K218" s="9">
        <v>537</v>
      </c>
      <c r="L218" s="9">
        <v>2018</v>
      </c>
      <c r="M218" s="8" t="s">
        <v>1468</v>
      </c>
      <c r="N218" s="8" t="s">
        <v>41</v>
      </c>
      <c r="O218" s="8" t="s">
        <v>42</v>
      </c>
      <c r="P218" s="6" t="s">
        <v>55</v>
      </c>
      <c r="Q218" s="8" t="s">
        <v>75</v>
      </c>
      <c r="R218" s="10" t="s">
        <v>1469</v>
      </c>
      <c r="S218" s="11" t="s">
        <v>1470</v>
      </c>
      <c r="T218" s="6" t="s">
        <v>59</v>
      </c>
      <c r="U218" s="27" t="str">
        <f>HYPERLINK("https://media.infra-m.ru/1947/1947352/cover/1947352.jpg", "Обложка")</f>
        <v>Обложка</v>
      </c>
      <c r="V218" s="27" t="str">
        <f>HYPERLINK("https://znanium.com/catalog/product/939763", "Ознакомиться")</f>
        <v>Ознакомиться</v>
      </c>
      <c r="W218" s="8" t="s">
        <v>1471</v>
      </c>
      <c r="X218" s="6"/>
      <c r="Y218" s="6"/>
      <c r="Z218" s="6"/>
      <c r="AA218" s="6" t="s">
        <v>61</v>
      </c>
    </row>
    <row r="219" spans="1:27" s="4" customFormat="1" ht="51.95" customHeight="1">
      <c r="A219" s="5">
        <v>0</v>
      </c>
      <c r="B219" s="6" t="s">
        <v>1472</v>
      </c>
      <c r="C219" s="7">
        <v>954</v>
      </c>
      <c r="D219" s="8" t="s">
        <v>1473</v>
      </c>
      <c r="E219" s="8" t="s">
        <v>1474</v>
      </c>
      <c r="F219" s="8" t="s">
        <v>1475</v>
      </c>
      <c r="G219" s="6" t="s">
        <v>92</v>
      </c>
      <c r="H219" s="6" t="s">
        <v>38</v>
      </c>
      <c r="I219" s="8" t="s">
        <v>132</v>
      </c>
      <c r="J219" s="9">
        <v>1</v>
      </c>
      <c r="K219" s="9">
        <v>208</v>
      </c>
      <c r="L219" s="9">
        <v>2024</v>
      </c>
      <c r="M219" s="8" t="s">
        <v>1476</v>
      </c>
      <c r="N219" s="8" t="s">
        <v>41</v>
      </c>
      <c r="O219" s="8" t="s">
        <v>42</v>
      </c>
      <c r="P219" s="6" t="s">
        <v>43</v>
      </c>
      <c r="Q219" s="8" t="s">
        <v>75</v>
      </c>
      <c r="R219" s="10" t="s">
        <v>1477</v>
      </c>
      <c r="S219" s="11" t="s">
        <v>1478</v>
      </c>
      <c r="T219" s="6"/>
      <c r="U219" s="27" t="str">
        <f>HYPERLINK("https://media.infra-m.ru/2082/2082881/cover/2082881.jpg", "Обложка")</f>
        <v>Обложка</v>
      </c>
      <c r="V219" s="27" t="str">
        <f>HYPERLINK("https://znanium.com/catalog/product/945559", "Ознакомиться")</f>
        <v>Ознакомиться</v>
      </c>
      <c r="W219" s="8" t="s">
        <v>1479</v>
      </c>
      <c r="X219" s="6"/>
      <c r="Y219" s="6"/>
      <c r="Z219" s="6"/>
      <c r="AA219" s="6" t="s">
        <v>150</v>
      </c>
    </row>
    <row r="220" spans="1:27" s="4" customFormat="1" ht="51.95" customHeight="1">
      <c r="A220" s="5">
        <v>0</v>
      </c>
      <c r="B220" s="6" t="s">
        <v>1480</v>
      </c>
      <c r="C220" s="13">
        <v>1214</v>
      </c>
      <c r="D220" s="8" t="s">
        <v>1481</v>
      </c>
      <c r="E220" s="8" t="s">
        <v>1482</v>
      </c>
      <c r="F220" s="8" t="s">
        <v>1483</v>
      </c>
      <c r="G220" s="6" t="s">
        <v>92</v>
      </c>
      <c r="H220" s="6" t="s">
        <v>38</v>
      </c>
      <c r="I220" s="8" t="s">
        <v>73</v>
      </c>
      <c r="J220" s="9">
        <v>1</v>
      </c>
      <c r="K220" s="9">
        <v>262</v>
      </c>
      <c r="L220" s="9">
        <v>2023</v>
      </c>
      <c r="M220" s="8" t="s">
        <v>1484</v>
      </c>
      <c r="N220" s="8" t="s">
        <v>41</v>
      </c>
      <c r="O220" s="8" t="s">
        <v>42</v>
      </c>
      <c r="P220" s="6" t="s">
        <v>43</v>
      </c>
      <c r="Q220" s="8" t="s">
        <v>75</v>
      </c>
      <c r="R220" s="10" t="s">
        <v>1485</v>
      </c>
      <c r="S220" s="11" t="s">
        <v>1486</v>
      </c>
      <c r="T220" s="6"/>
      <c r="U220" s="27" t="str">
        <f>HYPERLINK("https://media.infra-m.ru/2045/2045797/cover/2045797.jpg", "Обложка")</f>
        <v>Обложка</v>
      </c>
      <c r="V220" s="27" t="str">
        <f>HYPERLINK("https://znanium.com/catalog/product/1042474", "Ознакомиться")</f>
        <v>Ознакомиться</v>
      </c>
      <c r="W220" s="8" t="s">
        <v>1024</v>
      </c>
      <c r="X220" s="6"/>
      <c r="Y220" s="6"/>
      <c r="Z220" s="6"/>
      <c r="AA220" s="6" t="s">
        <v>114</v>
      </c>
    </row>
    <row r="221" spans="1:27" s="4" customFormat="1" ht="51.95" customHeight="1">
      <c r="A221" s="5">
        <v>0</v>
      </c>
      <c r="B221" s="6" t="s">
        <v>1487</v>
      </c>
      <c r="C221" s="7">
        <v>824</v>
      </c>
      <c r="D221" s="8" t="s">
        <v>1488</v>
      </c>
      <c r="E221" s="8" t="s">
        <v>1489</v>
      </c>
      <c r="F221" s="8" t="s">
        <v>1490</v>
      </c>
      <c r="G221" s="6" t="s">
        <v>119</v>
      </c>
      <c r="H221" s="6" t="s">
        <v>38</v>
      </c>
      <c r="I221" s="8" t="s">
        <v>73</v>
      </c>
      <c r="J221" s="9">
        <v>1</v>
      </c>
      <c r="K221" s="9">
        <v>180</v>
      </c>
      <c r="L221" s="9">
        <v>2021</v>
      </c>
      <c r="M221" s="8" t="s">
        <v>1491</v>
      </c>
      <c r="N221" s="8" t="s">
        <v>41</v>
      </c>
      <c r="O221" s="8" t="s">
        <v>42</v>
      </c>
      <c r="P221" s="6" t="s">
        <v>43</v>
      </c>
      <c r="Q221" s="8" t="s">
        <v>75</v>
      </c>
      <c r="R221" s="10" t="s">
        <v>1492</v>
      </c>
      <c r="S221" s="11" t="s">
        <v>504</v>
      </c>
      <c r="T221" s="6"/>
      <c r="U221" s="27" t="str">
        <f>HYPERLINK("https://media.infra-m.ru/2113/2113845/cover/2113845.jpg", "Обложка")</f>
        <v>Обложка</v>
      </c>
      <c r="V221" s="27" t="str">
        <f>HYPERLINK("https://znanium.com/catalog/product/1679517", "Ознакомиться")</f>
        <v>Ознакомиться</v>
      </c>
      <c r="W221" s="8" t="s">
        <v>1375</v>
      </c>
      <c r="X221" s="6"/>
      <c r="Y221" s="6"/>
      <c r="Z221" s="6"/>
      <c r="AA221" s="6" t="s">
        <v>451</v>
      </c>
    </row>
    <row r="222" spans="1:27" s="4" customFormat="1" ht="51.95" customHeight="1">
      <c r="A222" s="5">
        <v>0</v>
      </c>
      <c r="B222" s="6" t="s">
        <v>1493</v>
      </c>
      <c r="C222" s="13">
        <v>1444</v>
      </c>
      <c r="D222" s="8" t="s">
        <v>1494</v>
      </c>
      <c r="E222" s="8" t="s">
        <v>1495</v>
      </c>
      <c r="F222" s="8" t="s">
        <v>1496</v>
      </c>
      <c r="G222" s="6" t="s">
        <v>37</v>
      </c>
      <c r="H222" s="6" t="s">
        <v>38</v>
      </c>
      <c r="I222" s="8" t="s">
        <v>53</v>
      </c>
      <c r="J222" s="9">
        <v>1</v>
      </c>
      <c r="K222" s="9">
        <v>313</v>
      </c>
      <c r="L222" s="9">
        <v>2024</v>
      </c>
      <c r="M222" s="8" t="s">
        <v>1497</v>
      </c>
      <c r="N222" s="8" t="s">
        <v>41</v>
      </c>
      <c r="O222" s="8" t="s">
        <v>42</v>
      </c>
      <c r="P222" s="6" t="s">
        <v>43</v>
      </c>
      <c r="Q222" s="8" t="s">
        <v>56</v>
      </c>
      <c r="R222" s="10" t="s">
        <v>1498</v>
      </c>
      <c r="S222" s="11" t="s">
        <v>1499</v>
      </c>
      <c r="T222" s="6"/>
      <c r="U222" s="27" t="str">
        <f>HYPERLINK("https://media.infra-m.ru/2113/2113867/cover/2113867.jpg", "Обложка")</f>
        <v>Обложка</v>
      </c>
      <c r="V222" s="27" t="str">
        <f>HYPERLINK("https://znanium.com/catalog/product/2103209", "Ознакомиться")</f>
        <v>Ознакомиться</v>
      </c>
      <c r="W222" s="8"/>
      <c r="X222" s="6"/>
      <c r="Y222" s="6"/>
      <c r="Z222" s="6" t="s">
        <v>60</v>
      </c>
      <c r="AA222" s="6" t="s">
        <v>405</v>
      </c>
    </row>
    <row r="223" spans="1:27" s="4" customFormat="1" ht="51.95" customHeight="1">
      <c r="A223" s="5">
        <v>0</v>
      </c>
      <c r="B223" s="6" t="s">
        <v>1500</v>
      </c>
      <c r="C223" s="13">
        <v>1444</v>
      </c>
      <c r="D223" s="8" t="s">
        <v>1501</v>
      </c>
      <c r="E223" s="8" t="s">
        <v>1495</v>
      </c>
      <c r="F223" s="8" t="s">
        <v>1496</v>
      </c>
      <c r="G223" s="6" t="s">
        <v>37</v>
      </c>
      <c r="H223" s="6" t="s">
        <v>38</v>
      </c>
      <c r="I223" s="8" t="s">
        <v>73</v>
      </c>
      <c r="J223" s="9">
        <v>1</v>
      </c>
      <c r="K223" s="9">
        <v>313</v>
      </c>
      <c r="L223" s="9">
        <v>2024</v>
      </c>
      <c r="M223" s="8" t="s">
        <v>1502</v>
      </c>
      <c r="N223" s="8" t="s">
        <v>41</v>
      </c>
      <c r="O223" s="8" t="s">
        <v>42</v>
      </c>
      <c r="P223" s="6" t="s">
        <v>43</v>
      </c>
      <c r="Q223" s="8" t="s">
        <v>75</v>
      </c>
      <c r="R223" s="10" t="s">
        <v>1503</v>
      </c>
      <c r="S223" s="11" t="s">
        <v>1504</v>
      </c>
      <c r="T223" s="6"/>
      <c r="U223" s="27" t="str">
        <f>HYPERLINK("https://media.infra-m.ru/2053/2053983/cover/2053983.jpg", "Обложка")</f>
        <v>Обложка</v>
      </c>
      <c r="V223" s="27" t="str">
        <f>HYPERLINK("https://znanium.com/catalog/product/1237093", "Ознакомиться")</f>
        <v>Ознакомиться</v>
      </c>
      <c r="W223" s="8"/>
      <c r="X223" s="6"/>
      <c r="Y223" s="6"/>
      <c r="Z223" s="6"/>
      <c r="AA223" s="6" t="s">
        <v>838</v>
      </c>
    </row>
    <row r="224" spans="1:27" s="4" customFormat="1" ht="51.95" customHeight="1">
      <c r="A224" s="5">
        <v>0</v>
      </c>
      <c r="B224" s="6" t="s">
        <v>1505</v>
      </c>
      <c r="C224" s="13">
        <v>1764</v>
      </c>
      <c r="D224" s="8" t="s">
        <v>1506</v>
      </c>
      <c r="E224" s="8" t="s">
        <v>1507</v>
      </c>
      <c r="F224" s="8" t="s">
        <v>1508</v>
      </c>
      <c r="G224" s="6" t="s">
        <v>92</v>
      </c>
      <c r="H224" s="6" t="s">
        <v>161</v>
      </c>
      <c r="I224" s="8" t="s">
        <v>257</v>
      </c>
      <c r="J224" s="9">
        <v>1</v>
      </c>
      <c r="K224" s="9">
        <v>384</v>
      </c>
      <c r="L224" s="9">
        <v>2024</v>
      </c>
      <c r="M224" s="8" t="s">
        <v>1509</v>
      </c>
      <c r="N224" s="8" t="s">
        <v>41</v>
      </c>
      <c r="O224" s="8" t="s">
        <v>502</v>
      </c>
      <c r="P224" s="6" t="s">
        <v>457</v>
      </c>
      <c r="Q224" s="8" t="s">
        <v>56</v>
      </c>
      <c r="R224" s="10" t="s">
        <v>1510</v>
      </c>
      <c r="S224" s="11" t="s">
        <v>1511</v>
      </c>
      <c r="T224" s="6"/>
      <c r="U224" s="27" t="str">
        <f>HYPERLINK("https://media.infra-m.ru/2074/2074385/cover/2074385.jpg", "Обложка")</f>
        <v>Обложка</v>
      </c>
      <c r="V224" s="27" t="str">
        <f>HYPERLINK("https://znanium.com/catalog/product/1001129", "Ознакомиться")</f>
        <v>Ознакомиться</v>
      </c>
      <c r="W224" s="8" t="s">
        <v>1425</v>
      </c>
      <c r="X224" s="6"/>
      <c r="Y224" s="6"/>
      <c r="Z224" s="6"/>
      <c r="AA224" s="6" t="s">
        <v>451</v>
      </c>
    </row>
    <row r="225" spans="1:27" s="4" customFormat="1" ht="51.95" customHeight="1">
      <c r="A225" s="5">
        <v>0</v>
      </c>
      <c r="B225" s="6" t="s">
        <v>1512</v>
      </c>
      <c r="C225" s="7">
        <v>964</v>
      </c>
      <c r="D225" s="8" t="s">
        <v>1513</v>
      </c>
      <c r="E225" s="8" t="s">
        <v>1514</v>
      </c>
      <c r="F225" s="8" t="s">
        <v>1515</v>
      </c>
      <c r="G225" s="6" t="s">
        <v>37</v>
      </c>
      <c r="H225" s="6" t="s">
        <v>38</v>
      </c>
      <c r="I225" s="8" t="s">
        <v>53</v>
      </c>
      <c r="J225" s="9">
        <v>1</v>
      </c>
      <c r="K225" s="9">
        <v>207</v>
      </c>
      <c r="L225" s="9">
        <v>2024</v>
      </c>
      <c r="M225" s="8" t="s">
        <v>1516</v>
      </c>
      <c r="N225" s="8" t="s">
        <v>41</v>
      </c>
      <c r="O225" s="8" t="s">
        <v>42</v>
      </c>
      <c r="P225" s="6" t="s">
        <v>43</v>
      </c>
      <c r="Q225" s="8" t="s">
        <v>56</v>
      </c>
      <c r="R225" s="10" t="s">
        <v>557</v>
      </c>
      <c r="S225" s="11" t="s">
        <v>1517</v>
      </c>
      <c r="T225" s="6"/>
      <c r="U225" s="27" t="str">
        <f>HYPERLINK("https://media.infra-m.ru/2110/2110068/cover/2110068.jpg", "Обложка")</f>
        <v>Обложка</v>
      </c>
      <c r="V225" s="27" t="str">
        <f>HYPERLINK("https://znanium.com/catalog/product/1838392", "Ознакомиться")</f>
        <v>Ознакомиться</v>
      </c>
      <c r="W225" s="8" t="s">
        <v>314</v>
      </c>
      <c r="X225" s="6"/>
      <c r="Y225" s="6"/>
      <c r="Z225" s="6"/>
      <c r="AA225" s="6" t="s">
        <v>213</v>
      </c>
    </row>
    <row r="226" spans="1:27" s="4" customFormat="1" ht="51.95" customHeight="1">
      <c r="A226" s="5">
        <v>0</v>
      </c>
      <c r="B226" s="6" t="s">
        <v>1518</v>
      </c>
      <c r="C226" s="13">
        <v>1714.9</v>
      </c>
      <c r="D226" s="8" t="s">
        <v>1519</v>
      </c>
      <c r="E226" s="8" t="s">
        <v>1520</v>
      </c>
      <c r="F226" s="8" t="s">
        <v>1521</v>
      </c>
      <c r="G226" s="6" t="s">
        <v>37</v>
      </c>
      <c r="H226" s="6" t="s">
        <v>38</v>
      </c>
      <c r="I226" s="8" t="s">
        <v>73</v>
      </c>
      <c r="J226" s="9">
        <v>1</v>
      </c>
      <c r="K226" s="9">
        <v>381</v>
      </c>
      <c r="L226" s="9">
        <v>2023</v>
      </c>
      <c r="M226" s="8" t="s">
        <v>1522</v>
      </c>
      <c r="N226" s="8" t="s">
        <v>41</v>
      </c>
      <c r="O226" s="8" t="s">
        <v>42</v>
      </c>
      <c r="P226" s="6" t="s">
        <v>55</v>
      </c>
      <c r="Q226" s="8" t="s">
        <v>75</v>
      </c>
      <c r="R226" s="10" t="s">
        <v>1523</v>
      </c>
      <c r="S226" s="11" t="s">
        <v>1524</v>
      </c>
      <c r="T226" s="6" t="s">
        <v>59</v>
      </c>
      <c r="U226" s="27" t="str">
        <f>HYPERLINK("https://media.infra-m.ru/2001/2001629/cover/2001629.jpg", "Обложка")</f>
        <v>Обложка</v>
      </c>
      <c r="V226" s="27" t="str">
        <f>HYPERLINK("https://znanium.com/catalog/product/1068921", "Ознакомиться")</f>
        <v>Ознакомиться</v>
      </c>
      <c r="W226" s="8" t="s">
        <v>125</v>
      </c>
      <c r="X226" s="6"/>
      <c r="Y226" s="6"/>
      <c r="Z226" s="6"/>
      <c r="AA226" s="6" t="s">
        <v>126</v>
      </c>
    </row>
    <row r="227" spans="1:27" s="4" customFormat="1" ht="51.95" customHeight="1">
      <c r="A227" s="5">
        <v>0</v>
      </c>
      <c r="B227" s="6" t="s">
        <v>1525</v>
      </c>
      <c r="C227" s="7">
        <v>574</v>
      </c>
      <c r="D227" s="8" t="s">
        <v>1526</v>
      </c>
      <c r="E227" s="8" t="s">
        <v>1527</v>
      </c>
      <c r="F227" s="8" t="s">
        <v>1528</v>
      </c>
      <c r="G227" s="6" t="s">
        <v>119</v>
      </c>
      <c r="H227" s="6" t="s">
        <v>131</v>
      </c>
      <c r="I227" s="8" t="s">
        <v>73</v>
      </c>
      <c r="J227" s="9">
        <v>1</v>
      </c>
      <c r="K227" s="9">
        <v>120</v>
      </c>
      <c r="L227" s="9">
        <v>2023</v>
      </c>
      <c r="M227" s="8" t="s">
        <v>1529</v>
      </c>
      <c r="N227" s="8" t="s">
        <v>41</v>
      </c>
      <c r="O227" s="8" t="s">
        <v>42</v>
      </c>
      <c r="P227" s="6" t="s">
        <v>43</v>
      </c>
      <c r="Q227" s="8" t="s">
        <v>75</v>
      </c>
      <c r="R227" s="10" t="s">
        <v>1530</v>
      </c>
      <c r="S227" s="11" t="s">
        <v>1531</v>
      </c>
      <c r="T227" s="6"/>
      <c r="U227" s="27" t="str">
        <f>HYPERLINK("https://media.infra-m.ru/2019/2019746/cover/2019746.jpg", "Обложка")</f>
        <v>Обложка</v>
      </c>
      <c r="V227" s="27" t="str">
        <f>HYPERLINK("https://znanium.com/catalog/product/1850631", "Ознакомиться")</f>
        <v>Ознакомиться</v>
      </c>
      <c r="W227" s="8" t="s">
        <v>125</v>
      </c>
      <c r="X227" s="6"/>
      <c r="Y227" s="6"/>
      <c r="Z227" s="6"/>
      <c r="AA227" s="6" t="s">
        <v>213</v>
      </c>
    </row>
    <row r="228" spans="1:27" s="4" customFormat="1" ht="42" customHeight="1">
      <c r="A228" s="5">
        <v>0</v>
      </c>
      <c r="B228" s="6" t="s">
        <v>1532</v>
      </c>
      <c r="C228" s="13">
        <v>1260</v>
      </c>
      <c r="D228" s="8" t="s">
        <v>1533</v>
      </c>
      <c r="E228" s="8" t="s">
        <v>1534</v>
      </c>
      <c r="F228" s="8" t="s">
        <v>1455</v>
      </c>
      <c r="G228" s="6" t="s">
        <v>92</v>
      </c>
      <c r="H228" s="6" t="s">
        <v>93</v>
      </c>
      <c r="I228" s="8" t="s">
        <v>351</v>
      </c>
      <c r="J228" s="9">
        <v>1</v>
      </c>
      <c r="K228" s="9">
        <v>368</v>
      </c>
      <c r="L228" s="9">
        <v>2020</v>
      </c>
      <c r="M228" s="8" t="s">
        <v>1535</v>
      </c>
      <c r="N228" s="8" t="s">
        <v>41</v>
      </c>
      <c r="O228" s="8" t="s">
        <v>42</v>
      </c>
      <c r="P228" s="6" t="s">
        <v>43</v>
      </c>
      <c r="Q228" s="8" t="s">
        <v>75</v>
      </c>
      <c r="R228" s="10" t="s">
        <v>557</v>
      </c>
      <c r="S228" s="11"/>
      <c r="T228" s="6"/>
      <c r="U228" s="27" t="str">
        <f>HYPERLINK("https://media.infra-m.ru/1092/1092142/cover/1092142.jpg", "Обложка")</f>
        <v>Обложка</v>
      </c>
      <c r="V228" s="27" t="str">
        <f>HYPERLINK("https://znanium.com/catalog/product/994182", "Ознакомиться")</f>
        <v>Ознакомиться</v>
      </c>
      <c r="W228" s="8" t="s">
        <v>762</v>
      </c>
      <c r="X228" s="6"/>
      <c r="Y228" s="6"/>
      <c r="Z228" s="6"/>
      <c r="AA228" s="6" t="s">
        <v>213</v>
      </c>
    </row>
    <row r="229" spans="1:27" s="4" customFormat="1" ht="51.95" customHeight="1">
      <c r="A229" s="5">
        <v>0</v>
      </c>
      <c r="B229" s="6" t="s">
        <v>1536</v>
      </c>
      <c r="C229" s="13">
        <v>1580</v>
      </c>
      <c r="D229" s="8" t="s">
        <v>1537</v>
      </c>
      <c r="E229" s="8" t="s">
        <v>1538</v>
      </c>
      <c r="F229" s="8" t="s">
        <v>1539</v>
      </c>
      <c r="G229" s="6" t="s">
        <v>37</v>
      </c>
      <c r="H229" s="6" t="s">
        <v>131</v>
      </c>
      <c r="I229" s="8" t="s">
        <v>53</v>
      </c>
      <c r="J229" s="9">
        <v>1</v>
      </c>
      <c r="K229" s="9">
        <v>350</v>
      </c>
      <c r="L229" s="9">
        <v>2023</v>
      </c>
      <c r="M229" s="8" t="s">
        <v>1540</v>
      </c>
      <c r="N229" s="8" t="s">
        <v>41</v>
      </c>
      <c r="O229" s="8" t="s">
        <v>42</v>
      </c>
      <c r="P229" s="6" t="s">
        <v>55</v>
      </c>
      <c r="Q229" s="8" t="s">
        <v>56</v>
      </c>
      <c r="R229" s="10" t="s">
        <v>528</v>
      </c>
      <c r="S229" s="11" t="s">
        <v>1541</v>
      </c>
      <c r="T229" s="6"/>
      <c r="U229" s="27" t="str">
        <f>HYPERLINK("https://media.infra-m.ru/1914/1914576/cover/1914576.jpg", "Обложка")</f>
        <v>Обложка</v>
      </c>
      <c r="V229" s="27" t="str">
        <f>HYPERLINK("https://znanium.com/catalog/product/1914576", "Ознакомиться")</f>
        <v>Ознакомиться</v>
      </c>
      <c r="W229" s="8" t="s">
        <v>734</v>
      </c>
      <c r="X229" s="6"/>
      <c r="Y229" s="6"/>
      <c r="Z229" s="6"/>
      <c r="AA229" s="6" t="s">
        <v>405</v>
      </c>
    </row>
    <row r="230" spans="1:27" s="4" customFormat="1" ht="51.95" customHeight="1">
      <c r="A230" s="5">
        <v>0</v>
      </c>
      <c r="B230" s="6" t="s">
        <v>1542</v>
      </c>
      <c r="C230" s="13">
        <v>1030</v>
      </c>
      <c r="D230" s="8" t="s">
        <v>1543</v>
      </c>
      <c r="E230" s="8" t="s">
        <v>1544</v>
      </c>
      <c r="F230" s="8" t="s">
        <v>1545</v>
      </c>
      <c r="G230" s="6" t="s">
        <v>37</v>
      </c>
      <c r="H230" s="6" t="s">
        <v>131</v>
      </c>
      <c r="I230" s="8" t="s">
        <v>53</v>
      </c>
      <c r="J230" s="9">
        <v>1</v>
      </c>
      <c r="K230" s="9">
        <v>352</v>
      </c>
      <c r="L230" s="9">
        <v>2018</v>
      </c>
      <c r="M230" s="8" t="s">
        <v>1546</v>
      </c>
      <c r="N230" s="8" t="s">
        <v>41</v>
      </c>
      <c r="O230" s="8" t="s">
        <v>42</v>
      </c>
      <c r="P230" s="6" t="s">
        <v>55</v>
      </c>
      <c r="Q230" s="8" t="s">
        <v>56</v>
      </c>
      <c r="R230" s="10" t="s">
        <v>528</v>
      </c>
      <c r="S230" s="11" t="s">
        <v>1547</v>
      </c>
      <c r="T230" s="6"/>
      <c r="U230" s="27" t="str">
        <f>HYPERLINK("https://media.infra-m.ru/0944/0944181/cover/944181.jpg", "Обложка")</f>
        <v>Обложка</v>
      </c>
      <c r="V230" s="27" t="str">
        <f>HYPERLINK("https://znanium.com/catalog/product/1914576", "Ознакомиться")</f>
        <v>Ознакомиться</v>
      </c>
      <c r="W230" s="8" t="s">
        <v>734</v>
      </c>
      <c r="X230" s="6"/>
      <c r="Y230" s="6"/>
      <c r="Z230" s="6"/>
      <c r="AA230" s="6" t="s">
        <v>114</v>
      </c>
    </row>
    <row r="231" spans="1:27" s="4" customFormat="1" ht="42" customHeight="1">
      <c r="A231" s="5">
        <v>0</v>
      </c>
      <c r="B231" s="6" t="s">
        <v>1548</v>
      </c>
      <c r="C231" s="13">
        <v>1804.9</v>
      </c>
      <c r="D231" s="8" t="s">
        <v>1549</v>
      </c>
      <c r="E231" s="8" t="s">
        <v>1550</v>
      </c>
      <c r="F231" s="8" t="s">
        <v>1404</v>
      </c>
      <c r="G231" s="6" t="s">
        <v>92</v>
      </c>
      <c r="H231" s="6" t="s">
        <v>161</v>
      </c>
      <c r="I231" s="8" t="s">
        <v>73</v>
      </c>
      <c r="J231" s="9">
        <v>1</v>
      </c>
      <c r="K231" s="9">
        <v>400</v>
      </c>
      <c r="L231" s="9">
        <v>2023</v>
      </c>
      <c r="M231" s="8" t="s">
        <v>1551</v>
      </c>
      <c r="N231" s="8" t="s">
        <v>41</v>
      </c>
      <c r="O231" s="8" t="s">
        <v>401</v>
      </c>
      <c r="P231" s="6" t="s">
        <v>43</v>
      </c>
      <c r="Q231" s="8" t="s">
        <v>75</v>
      </c>
      <c r="R231" s="10" t="s">
        <v>1264</v>
      </c>
      <c r="S231" s="11"/>
      <c r="T231" s="6"/>
      <c r="U231" s="27" t="str">
        <f>HYPERLINK("https://media.infra-m.ru/1984/1984073/cover/1984073.jpg", "Обложка")</f>
        <v>Обложка</v>
      </c>
      <c r="V231" s="27" t="str">
        <f>HYPERLINK("https://znanium.com/catalog/product/2124365", "Ознакомиться")</f>
        <v>Ознакомиться</v>
      </c>
      <c r="W231" s="8" t="s">
        <v>1407</v>
      </c>
      <c r="X231" s="6"/>
      <c r="Y231" s="6"/>
      <c r="Z231" s="6"/>
      <c r="AA231" s="6" t="s">
        <v>114</v>
      </c>
    </row>
    <row r="232" spans="1:27" s="4" customFormat="1" ht="51.95" customHeight="1">
      <c r="A232" s="5">
        <v>0</v>
      </c>
      <c r="B232" s="6" t="s">
        <v>1552</v>
      </c>
      <c r="C232" s="13">
        <v>1440</v>
      </c>
      <c r="D232" s="8" t="s">
        <v>1553</v>
      </c>
      <c r="E232" s="8" t="s">
        <v>1550</v>
      </c>
      <c r="F232" s="8" t="s">
        <v>1404</v>
      </c>
      <c r="G232" s="6" t="s">
        <v>37</v>
      </c>
      <c r="H232" s="6" t="s">
        <v>161</v>
      </c>
      <c r="I232" s="8" t="s">
        <v>53</v>
      </c>
      <c r="J232" s="9">
        <v>1</v>
      </c>
      <c r="K232" s="9">
        <v>399</v>
      </c>
      <c r="L232" s="9">
        <v>2021</v>
      </c>
      <c r="M232" s="8" t="s">
        <v>1554</v>
      </c>
      <c r="N232" s="8" t="s">
        <v>41</v>
      </c>
      <c r="O232" s="8" t="s">
        <v>401</v>
      </c>
      <c r="P232" s="6" t="s">
        <v>43</v>
      </c>
      <c r="Q232" s="8" t="s">
        <v>56</v>
      </c>
      <c r="R232" s="10" t="s">
        <v>163</v>
      </c>
      <c r="S232" s="11" t="s">
        <v>1555</v>
      </c>
      <c r="T232" s="6"/>
      <c r="U232" s="27" t="str">
        <f>HYPERLINK("https://media.infra-m.ru/1242/1242553/cover/1242553.jpg", "Обложка")</f>
        <v>Обложка</v>
      </c>
      <c r="V232" s="27" t="str">
        <f>HYPERLINK("https://znanium.com/catalog/product/967459", "Ознакомиться")</f>
        <v>Ознакомиться</v>
      </c>
      <c r="W232" s="8" t="s">
        <v>1407</v>
      </c>
      <c r="X232" s="6"/>
      <c r="Y232" s="6"/>
      <c r="Z232" s="6" t="s">
        <v>60</v>
      </c>
      <c r="AA232" s="6" t="s">
        <v>299</v>
      </c>
    </row>
    <row r="233" spans="1:27" s="4" customFormat="1" ht="44.1" customHeight="1">
      <c r="A233" s="5">
        <v>0</v>
      </c>
      <c r="B233" s="6" t="s">
        <v>1556</v>
      </c>
      <c r="C233" s="13">
        <v>1080</v>
      </c>
      <c r="D233" s="8" t="s">
        <v>1557</v>
      </c>
      <c r="E233" s="8" t="s">
        <v>1558</v>
      </c>
      <c r="F233" s="8" t="s">
        <v>1559</v>
      </c>
      <c r="G233" s="6" t="s">
        <v>119</v>
      </c>
      <c r="H233" s="6" t="s">
        <v>93</v>
      </c>
      <c r="I233" s="8" t="s">
        <v>351</v>
      </c>
      <c r="J233" s="9">
        <v>1</v>
      </c>
      <c r="K233" s="9">
        <v>240</v>
      </c>
      <c r="L233" s="9">
        <v>2023</v>
      </c>
      <c r="M233" s="8" t="s">
        <v>1560</v>
      </c>
      <c r="N233" s="8" t="s">
        <v>41</v>
      </c>
      <c r="O233" s="8" t="s">
        <v>42</v>
      </c>
      <c r="P233" s="6" t="s">
        <v>55</v>
      </c>
      <c r="Q233" s="8" t="s">
        <v>75</v>
      </c>
      <c r="R233" s="10" t="s">
        <v>1561</v>
      </c>
      <c r="S233" s="11"/>
      <c r="T233" s="6"/>
      <c r="U233" s="27" t="str">
        <f>HYPERLINK("https://media.infra-m.ru/1894/1894212/cover/1894212.jpg", "Обложка")</f>
        <v>Обложка</v>
      </c>
      <c r="V233" s="27" t="str">
        <f>HYPERLINK("https://znanium.com/catalog/product/1894212", "Ознакомиться")</f>
        <v>Ознакомиться</v>
      </c>
      <c r="W233" s="8" t="s">
        <v>1562</v>
      </c>
      <c r="X233" s="6"/>
      <c r="Y233" s="6"/>
      <c r="Z233" s="6"/>
      <c r="AA233" s="6" t="s">
        <v>346</v>
      </c>
    </row>
    <row r="234" spans="1:27" s="4" customFormat="1" ht="51.95" customHeight="1">
      <c r="A234" s="5">
        <v>0</v>
      </c>
      <c r="B234" s="6" t="s">
        <v>1563</v>
      </c>
      <c r="C234" s="7">
        <v>744.9</v>
      </c>
      <c r="D234" s="8" t="s">
        <v>1564</v>
      </c>
      <c r="E234" s="8" t="s">
        <v>1565</v>
      </c>
      <c r="F234" s="8" t="s">
        <v>1566</v>
      </c>
      <c r="G234" s="6" t="s">
        <v>92</v>
      </c>
      <c r="H234" s="6" t="s">
        <v>38</v>
      </c>
      <c r="I234" s="8" t="s">
        <v>53</v>
      </c>
      <c r="J234" s="9">
        <v>1</v>
      </c>
      <c r="K234" s="9">
        <v>165</v>
      </c>
      <c r="L234" s="9">
        <v>2023</v>
      </c>
      <c r="M234" s="8" t="s">
        <v>1567</v>
      </c>
      <c r="N234" s="8" t="s">
        <v>41</v>
      </c>
      <c r="O234" s="8" t="s">
        <v>42</v>
      </c>
      <c r="P234" s="6" t="s">
        <v>43</v>
      </c>
      <c r="Q234" s="8" t="s">
        <v>56</v>
      </c>
      <c r="R234" s="10" t="s">
        <v>1568</v>
      </c>
      <c r="S234" s="11" t="s">
        <v>1569</v>
      </c>
      <c r="T234" s="6" t="s">
        <v>59</v>
      </c>
      <c r="U234" s="27" t="str">
        <f>HYPERLINK("https://media.infra-m.ru/1964/1964974/cover/1964974.jpg", "Обложка")</f>
        <v>Обложка</v>
      </c>
      <c r="V234" s="27" t="str">
        <f>HYPERLINK("https://znanium.com/catalog/product/1013021", "Ознакомиться")</f>
        <v>Ознакомиться</v>
      </c>
      <c r="W234" s="8" t="s">
        <v>1570</v>
      </c>
      <c r="X234" s="6"/>
      <c r="Y234" s="6"/>
      <c r="Z234" s="6"/>
      <c r="AA234" s="6" t="s">
        <v>382</v>
      </c>
    </row>
    <row r="235" spans="1:27" s="4" customFormat="1" ht="51.95" customHeight="1">
      <c r="A235" s="5">
        <v>0</v>
      </c>
      <c r="B235" s="6" t="s">
        <v>1571</v>
      </c>
      <c r="C235" s="7">
        <v>854.9</v>
      </c>
      <c r="D235" s="8" t="s">
        <v>1572</v>
      </c>
      <c r="E235" s="8" t="s">
        <v>1573</v>
      </c>
      <c r="F235" s="8" t="s">
        <v>1574</v>
      </c>
      <c r="G235" s="6" t="s">
        <v>37</v>
      </c>
      <c r="H235" s="6" t="s">
        <v>38</v>
      </c>
      <c r="I235" s="8" t="s">
        <v>73</v>
      </c>
      <c r="J235" s="9">
        <v>1</v>
      </c>
      <c r="K235" s="9">
        <v>224</v>
      </c>
      <c r="L235" s="9">
        <v>2022</v>
      </c>
      <c r="M235" s="8" t="s">
        <v>1575</v>
      </c>
      <c r="N235" s="8" t="s">
        <v>41</v>
      </c>
      <c r="O235" s="8" t="s">
        <v>42</v>
      </c>
      <c r="P235" s="6" t="s">
        <v>43</v>
      </c>
      <c r="Q235" s="8" t="s">
        <v>75</v>
      </c>
      <c r="R235" s="10" t="s">
        <v>1576</v>
      </c>
      <c r="S235" s="11" t="s">
        <v>1577</v>
      </c>
      <c r="T235" s="6"/>
      <c r="U235" s="27" t="str">
        <f>HYPERLINK("https://media.infra-m.ru/1842/1842558/cover/1842558.jpg", "Обложка")</f>
        <v>Обложка</v>
      </c>
      <c r="V235" s="27" t="str">
        <f>HYPERLINK("https://znanium.com/catalog/product/1842558", "Ознакомиться")</f>
        <v>Ознакомиться</v>
      </c>
      <c r="W235" s="8"/>
      <c r="X235" s="6"/>
      <c r="Y235" s="6"/>
      <c r="Z235" s="6"/>
      <c r="AA235" s="6" t="s">
        <v>150</v>
      </c>
    </row>
    <row r="236" spans="1:27" s="4" customFormat="1" ht="51.95" customHeight="1">
      <c r="A236" s="5">
        <v>0</v>
      </c>
      <c r="B236" s="6" t="s">
        <v>1578</v>
      </c>
      <c r="C236" s="13">
        <v>1014</v>
      </c>
      <c r="D236" s="8" t="s">
        <v>1579</v>
      </c>
      <c r="E236" s="8" t="s">
        <v>1573</v>
      </c>
      <c r="F236" s="8" t="s">
        <v>1496</v>
      </c>
      <c r="G236" s="6" t="s">
        <v>92</v>
      </c>
      <c r="H236" s="6" t="s">
        <v>38</v>
      </c>
      <c r="I236" s="8" t="s">
        <v>53</v>
      </c>
      <c r="J236" s="9">
        <v>1</v>
      </c>
      <c r="K236" s="9">
        <v>224</v>
      </c>
      <c r="L236" s="9">
        <v>2023</v>
      </c>
      <c r="M236" s="8" t="s">
        <v>1580</v>
      </c>
      <c r="N236" s="8" t="s">
        <v>41</v>
      </c>
      <c r="O236" s="8" t="s">
        <v>42</v>
      </c>
      <c r="P236" s="6" t="s">
        <v>43</v>
      </c>
      <c r="Q236" s="8" t="s">
        <v>56</v>
      </c>
      <c r="R236" s="10" t="s">
        <v>1581</v>
      </c>
      <c r="S236" s="11" t="s">
        <v>1582</v>
      </c>
      <c r="T236" s="6"/>
      <c r="U236" s="27" t="str">
        <f>HYPERLINK("https://media.infra-m.ru/2021/2021435/cover/2021435.jpg", "Обложка")</f>
        <v>Обложка</v>
      </c>
      <c r="V236" s="27" t="str">
        <f>HYPERLINK("https://znanium.com/catalog/product/961529", "Ознакомиться")</f>
        <v>Ознакомиться</v>
      </c>
      <c r="W236" s="8"/>
      <c r="X236" s="6"/>
      <c r="Y236" s="6"/>
      <c r="Z236" s="6" t="s">
        <v>60</v>
      </c>
      <c r="AA236" s="6" t="s">
        <v>382</v>
      </c>
    </row>
    <row r="237" spans="1:27" s="4" customFormat="1" ht="51.95" customHeight="1">
      <c r="A237" s="5">
        <v>0</v>
      </c>
      <c r="B237" s="6" t="s">
        <v>1583</v>
      </c>
      <c r="C237" s="13">
        <v>1614</v>
      </c>
      <c r="D237" s="8" t="s">
        <v>1584</v>
      </c>
      <c r="E237" s="8" t="s">
        <v>1585</v>
      </c>
      <c r="F237" s="8" t="s">
        <v>1586</v>
      </c>
      <c r="G237" s="6" t="s">
        <v>37</v>
      </c>
      <c r="H237" s="6" t="s">
        <v>38</v>
      </c>
      <c r="I237" s="8" t="s">
        <v>73</v>
      </c>
      <c r="J237" s="9">
        <v>1</v>
      </c>
      <c r="K237" s="9">
        <v>350</v>
      </c>
      <c r="L237" s="9">
        <v>2024</v>
      </c>
      <c r="M237" s="8" t="s">
        <v>1587</v>
      </c>
      <c r="N237" s="8" t="s">
        <v>41</v>
      </c>
      <c r="O237" s="8" t="s">
        <v>42</v>
      </c>
      <c r="P237" s="6" t="s">
        <v>43</v>
      </c>
      <c r="Q237" s="8" t="s">
        <v>75</v>
      </c>
      <c r="R237" s="10" t="s">
        <v>1588</v>
      </c>
      <c r="S237" s="11" t="s">
        <v>1589</v>
      </c>
      <c r="T237" s="6"/>
      <c r="U237" s="27" t="str">
        <f>HYPERLINK("https://media.infra-m.ru/2102/2102726/cover/2102726.jpg", "Обложка")</f>
        <v>Обложка</v>
      </c>
      <c r="V237" s="27" t="str">
        <f>HYPERLINK("https://znanium.com/catalog/product/1008141", "Ознакомиться")</f>
        <v>Ознакомиться</v>
      </c>
      <c r="W237" s="8" t="s">
        <v>1590</v>
      </c>
      <c r="X237" s="6"/>
      <c r="Y237" s="6"/>
      <c r="Z237" s="6"/>
      <c r="AA237" s="6" t="s">
        <v>114</v>
      </c>
    </row>
    <row r="238" spans="1:27" s="4" customFormat="1" ht="51.95" customHeight="1">
      <c r="A238" s="5">
        <v>0</v>
      </c>
      <c r="B238" s="6" t="s">
        <v>1591</v>
      </c>
      <c r="C238" s="13">
        <v>1424.9</v>
      </c>
      <c r="D238" s="8" t="s">
        <v>1592</v>
      </c>
      <c r="E238" s="8" t="s">
        <v>1593</v>
      </c>
      <c r="F238" s="8" t="s">
        <v>1594</v>
      </c>
      <c r="G238" s="6" t="s">
        <v>92</v>
      </c>
      <c r="H238" s="6" t="s">
        <v>38</v>
      </c>
      <c r="I238" s="8"/>
      <c r="J238" s="9">
        <v>1</v>
      </c>
      <c r="K238" s="9">
        <v>446</v>
      </c>
      <c r="L238" s="9">
        <v>2019</v>
      </c>
      <c r="M238" s="8" t="s">
        <v>1595</v>
      </c>
      <c r="N238" s="8" t="s">
        <v>41</v>
      </c>
      <c r="O238" s="8" t="s">
        <v>42</v>
      </c>
      <c r="P238" s="6" t="s">
        <v>95</v>
      </c>
      <c r="Q238" s="8" t="s">
        <v>75</v>
      </c>
      <c r="R238" s="10" t="s">
        <v>1596</v>
      </c>
      <c r="S238" s="11"/>
      <c r="T238" s="6" t="s">
        <v>59</v>
      </c>
      <c r="U238" s="27" t="str">
        <f>HYPERLINK("https://media.infra-m.ru/1012/1012429/cover/1012429.jpg", "Обложка")</f>
        <v>Обложка</v>
      </c>
      <c r="V238" s="27" t="str">
        <f>HYPERLINK("https://znanium.com/catalog/product/1012429", "Ознакомиться")</f>
        <v>Ознакомиться</v>
      </c>
      <c r="W238" s="8" t="s">
        <v>314</v>
      </c>
      <c r="X238" s="6"/>
      <c r="Y238" s="6" t="s">
        <v>30</v>
      </c>
      <c r="Z238" s="6"/>
      <c r="AA238" s="6" t="s">
        <v>114</v>
      </c>
    </row>
    <row r="239" spans="1:27" s="4" customFormat="1" ht="51.95" customHeight="1">
      <c r="A239" s="5">
        <v>0</v>
      </c>
      <c r="B239" s="6" t="s">
        <v>1597</v>
      </c>
      <c r="C239" s="7">
        <v>864.9</v>
      </c>
      <c r="D239" s="8" t="s">
        <v>1598</v>
      </c>
      <c r="E239" s="8" t="s">
        <v>1599</v>
      </c>
      <c r="F239" s="8" t="s">
        <v>1600</v>
      </c>
      <c r="G239" s="6" t="s">
        <v>92</v>
      </c>
      <c r="H239" s="6" t="s">
        <v>38</v>
      </c>
      <c r="I239" s="8" t="s">
        <v>53</v>
      </c>
      <c r="J239" s="9">
        <v>1</v>
      </c>
      <c r="K239" s="9">
        <v>192</v>
      </c>
      <c r="L239" s="9">
        <v>2023</v>
      </c>
      <c r="M239" s="8" t="s">
        <v>1601</v>
      </c>
      <c r="N239" s="8" t="s">
        <v>41</v>
      </c>
      <c r="O239" s="8" t="s">
        <v>42</v>
      </c>
      <c r="P239" s="6" t="s">
        <v>43</v>
      </c>
      <c r="Q239" s="8" t="s">
        <v>56</v>
      </c>
      <c r="R239" s="10" t="s">
        <v>1602</v>
      </c>
      <c r="S239" s="11" t="s">
        <v>1603</v>
      </c>
      <c r="T239" s="6"/>
      <c r="U239" s="27" t="str">
        <f>HYPERLINK("https://media.infra-m.ru/2030/2030859/cover/2030859.jpg", "Обложка")</f>
        <v>Обложка</v>
      </c>
      <c r="V239" s="27" t="str">
        <f>HYPERLINK("https://znanium.com/catalog/product/987878", "Ознакомиться")</f>
        <v>Ознакомиться</v>
      </c>
      <c r="W239" s="8"/>
      <c r="X239" s="6"/>
      <c r="Y239" s="6"/>
      <c r="Z239" s="6"/>
      <c r="AA239" s="6" t="s">
        <v>299</v>
      </c>
    </row>
    <row r="240" spans="1:27" s="4" customFormat="1" ht="51.95" customHeight="1">
      <c r="A240" s="5">
        <v>0</v>
      </c>
      <c r="B240" s="6" t="s">
        <v>1604</v>
      </c>
      <c r="C240" s="13">
        <v>1350</v>
      </c>
      <c r="D240" s="8" t="s">
        <v>1605</v>
      </c>
      <c r="E240" s="8" t="s">
        <v>1606</v>
      </c>
      <c r="F240" s="8" t="s">
        <v>1607</v>
      </c>
      <c r="G240" s="6" t="s">
        <v>37</v>
      </c>
      <c r="H240" s="6" t="s">
        <v>38</v>
      </c>
      <c r="I240" s="8" t="s">
        <v>132</v>
      </c>
      <c r="J240" s="9">
        <v>1</v>
      </c>
      <c r="K240" s="9">
        <v>292</v>
      </c>
      <c r="L240" s="9">
        <v>2024</v>
      </c>
      <c r="M240" s="8" t="s">
        <v>1608</v>
      </c>
      <c r="N240" s="8" t="s">
        <v>41</v>
      </c>
      <c r="O240" s="8" t="s">
        <v>42</v>
      </c>
      <c r="P240" s="6" t="s">
        <v>55</v>
      </c>
      <c r="Q240" s="8" t="s">
        <v>75</v>
      </c>
      <c r="R240" s="10" t="s">
        <v>1609</v>
      </c>
      <c r="S240" s="11" t="s">
        <v>1610</v>
      </c>
      <c r="T240" s="6"/>
      <c r="U240" s="27" t="str">
        <f>HYPERLINK("https://media.infra-m.ru/2119/2119151/cover/2119151.jpg", "Обложка")</f>
        <v>Обложка</v>
      </c>
      <c r="V240" s="27" t="str">
        <f>HYPERLINK("https://znanium.com/catalog/product/2119151", "Ознакомиться")</f>
        <v>Ознакомиться</v>
      </c>
      <c r="W240" s="8" t="s">
        <v>1611</v>
      </c>
      <c r="X240" s="6"/>
      <c r="Y240" s="6"/>
      <c r="Z240" s="6"/>
      <c r="AA240" s="6" t="s">
        <v>933</v>
      </c>
    </row>
    <row r="241" spans="1:27" s="4" customFormat="1" ht="51.95" customHeight="1">
      <c r="A241" s="5">
        <v>0</v>
      </c>
      <c r="B241" s="6" t="s">
        <v>1612</v>
      </c>
      <c r="C241" s="13">
        <v>1344</v>
      </c>
      <c r="D241" s="8" t="s">
        <v>1613</v>
      </c>
      <c r="E241" s="8" t="s">
        <v>1606</v>
      </c>
      <c r="F241" s="8" t="s">
        <v>1607</v>
      </c>
      <c r="G241" s="6" t="s">
        <v>37</v>
      </c>
      <c r="H241" s="6" t="s">
        <v>38</v>
      </c>
      <c r="I241" s="8" t="s">
        <v>53</v>
      </c>
      <c r="J241" s="9">
        <v>1</v>
      </c>
      <c r="K241" s="9">
        <v>292</v>
      </c>
      <c r="L241" s="9">
        <v>2024</v>
      </c>
      <c r="M241" s="8" t="s">
        <v>1614</v>
      </c>
      <c r="N241" s="8" t="s">
        <v>41</v>
      </c>
      <c r="O241" s="8" t="s">
        <v>42</v>
      </c>
      <c r="P241" s="6" t="s">
        <v>55</v>
      </c>
      <c r="Q241" s="8" t="s">
        <v>56</v>
      </c>
      <c r="R241" s="10" t="s">
        <v>1059</v>
      </c>
      <c r="S241" s="11" t="s">
        <v>1615</v>
      </c>
      <c r="T241" s="6"/>
      <c r="U241" s="27" t="str">
        <f>HYPERLINK("https://media.infra-m.ru/2102/2102660/cover/2102660.jpg", "Обложка")</f>
        <v>Обложка</v>
      </c>
      <c r="V241" s="27" t="str">
        <f>HYPERLINK("https://znanium.com/catalog/product/1372729", "Ознакомиться")</f>
        <v>Ознакомиться</v>
      </c>
      <c r="W241" s="8" t="s">
        <v>1611</v>
      </c>
      <c r="X241" s="6"/>
      <c r="Y241" s="6"/>
      <c r="Z241" s="6" t="s">
        <v>60</v>
      </c>
      <c r="AA241" s="6" t="s">
        <v>172</v>
      </c>
    </row>
    <row r="242" spans="1:27" s="4" customFormat="1" ht="51.95" customHeight="1">
      <c r="A242" s="5">
        <v>0</v>
      </c>
      <c r="B242" s="6" t="s">
        <v>1616</v>
      </c>
      <c r="C242" s="7">
        <v>750</v>
      </c>
      <c r="D242" s="8" t="s">
        <v>1617</v>
      </c>
      <c r="E242" s="8" t="s">
        <v>1618</v>
      </c>
      <c r="F242" s="8" t="s">
        <v>1619</v>
      </c>
      <c r="G242" s="6" t="s">
        <v>37</v>
      </c>
      <c r="H242" s="6" t="s">
        <v>38</v>
      </c>
      <c r="I242" s="8" t="s">
        <v>53</v>
      </c>
      <c r="J242" s="9">
        <v>1</v>
      </c>
      <c r="K242" s="9">
        <v>155</v>
      </c>
      <c r="L242" s="9">
        <v>2024</v>
      </c>
      <c r="M242" s="8" t="s">
        <v>1620</v>
      </c>
      <c r="N242" s="8" t="s">
        <v>41</v>
      </c>
      <c r="O242" s="8" t="s">
        <v>42</v>
      </c>
      <c r="P242" s="6" t="s">
        <v>43</v>
      </c>
      <c r="Q242" s="8" t="s">
        <v>56</v>
      </c>
      <c r="R242" s="10" t="s">
        <v>1621</v>
      </c>
      <c r="S242" s="11" t="s">
        <v>1622</v>
      </c>
      <c r="T242" s="6"/>
      <c r="U242" s="27" t="str">
        <f>HYPERLINK("https://media.infra-m.ru/2116/2116989/cover/2116989.jpg", "Обложка")</f>
        <v>Обложка</v>
      </c>
      <c r="V242" s="27" t="str">
        <f>HYPERLINK("https://znanium.com/catalog/product/2116989", "Ознакомиться")</f>
        <v>Ознакомиться</v>
      </c>
      <c r="W242" s="8" t="s">
        <v>1623</v>
      </c>
      <c r="X242" s="6"/>
      <c r="Y242" s="6"/>
      <c r="Z242" s="6"/>
      <c r="AA242" s="6" t="s">
        <v>382</v>
      </c>
    </row>
    <row r="243" spans="1:27" s="4" customFormat="1" ht="51.95" customHeight="1">
      <c r="A243" s="5">
        <v>0</v>
      </c>
      <c r="B243" s="6" t="s">
        <v>1624</v>
      </c>
      <c r="C243" s="13">
        <v>1004.9</v>
      </c>
      <c r="D243" s="8" t="s">
        <v>1625</v>
      </c>
      <c r="E243" s="8" t="s">
        <v>1626</v>
      </c>
      <c r="F243" s="8" t="s">
        <v>1627</v>
      </c>
      <c r="G243" s="6" t="s">
        <v>92</v>
      </c>
      <c r="H243" s="6" t="s">
        <v>38</v>
      </c>
      <c r="I243" s="8" t="s">
        <v>73</v>
      </c>
      <c r="J243" s="9">
        <v>1</v>
      </c>
      <c r="K243" s="9">
        <v>224</v>
      </c>
      <c r="L243" s="9">
        <v>2023</v>
      </c>
      <c r="M243" s="8" t="s">
        <v>1628</v>
      </c>
      <c r="N243" s="8" t="s">
        <v>41</v>
      </c>
      <c r="O243" s="8" t="s">
        <v>42</v>
      </c>
      <c r="P243" s="6" t="s">
        <v>43</v>
      </c>
      <c r="Q243" s="8" t="s">
        <v>75</v>
      </c>
      <c r="R243" s="10" t="s">
        <v>1629</v>
      </c>
      <c r="S243" s="11"/>
      <c r="T243" s="6"/>
      <c r="U243" s="27" t="str">
        <f>HYPERLINK("https://media.infra-m.ru/1894/1894655/cover/1894655.jpg", "Обложка")</f>
        <v>Обложка</v>
      </c>
      <c r="V243" s="27" t="str">
        <f>HYPERLINK("https://znanium.com/catalog/product/1013802", "Ознакомиться")</f>
        <v>Ознакомиться</v>
      </c>
      <c r="W243" s="8" t="s">
        <v>329</v>
      </c>
      <c r="X243" s="6"/>
      <c r="Y243" s="6"/>
      <c r="Z243" s="6"/>
      <c r="AA243" s="6" t="s">
        <v>1630</v>
      </c>
    </row>
    <row r="244" spans="1:27" s="4" customFormat="1" ht="51.95" customHeight="1">
      <c r="A244" s="5">
        <v>0</v>
      </c>
      <c r="B244" s="6" t="s">
        <v>1631</v>
      </c>
      <c r="C244" s="13">
        <v>2014</v>
      </c>
      <c r="D244" s="8" t="s">
        <v>1632</v>
      </c>
      <c r="E244" s="8" t="s">
        <v>1633</v>
      </c>
      <c r="F244" s="8" t="s">
        <v>1634</v>
      </c>
      <c r="G244" s="6" t="s">
        <v>92</v>
      </c>
      <c r="H244" s="6" t="s">
        <v>38</v>
      </c>
      <c r="I244" s="8" t="s">
        <v>73</v>
      </c>
      <c r="J244" s="9">
        <v>1</v>
      </c>
      <c r="K244" s="9">
        <v>437</v>
      </c>
      <c r="L244" s="9">
        <v>2024</v>
      </c>
      <c r="M244" s="8" t="s">
        <v>1635</v>
      </c>
      <c r="N244" s="8" t="s">
        <v>41</v>
      </c>
      <c r="O244" s="8" t="s">
        <v>42</v>
      </c>
      <c r="P244" s="6" t="s">
        <v>55</v>
      </c>
      <c r="Q244" s="8" t="s">
        <v>75</v>
      </c>
      <c r="R244" s="10" t="s">
        <v>1492</v>
      </c>
      <c r="S244" s="11" t="s">
        <v>1636</v>
      </c>
      <c r="T244" s="6" t="s">
        <v>59</v>
      </c>
      <c r="U244" s="27" t="str">
        <f>HYPERLINK("https://media.infra-m.ru/2122/2122497/cover/2122497.jpg", "Обложка")</f>
        <v>Обложка</v>
      </c>
      <c r="V244" s="27" t="str">
        <f>HYPERLINK("https://znanium.com/catalog/product/1940014", "Ознакомиться")</f>
        <v>Ознакомиться</v>
      </c>
      <c r="W244" s="8" t="s">
        <v>1024</v>
      </c>
      <c r="X244" s="6"/>
      <c r="Y244" s="6"/>
      <c r="Z244" s="6"/>
      <c r="AA244" s="6" t="s">
        <v>172</v>
      </c>
    </row>
    <row r="245" spans="1:27" s="4" customFormat="1" ht="51.95" customHeight="1">
      <c r="A245" s="5">
        <v>0</v>
      </c>
      <c r="B245" s="6" t="s">
        <v>1637</v>
      </c>
      <c r="C245" s="13">
        <v>1174</v>
      </c>
      <c r="D245" s="8" t="s">
        <v>1638</v>
      </c>
      <c r="E245" s="8" t="s">
        <v>1633</v>
      </c>
      <c r="F245" s="8" t="s">
        <v>1639</v>
      </c>
      <c r="G245" s="6" t="s">
        <v>92</v>
      </c>
      <c r="H245" s="6" t="s">
        <v>161</v>
      </c>
      <c r="I245" s="8" t="s">
        <v>257</v>
      </c>
      <c r="J245" s="9">
        <v>1</v>
      </c>
      <c r="K245" s="9">
        <v>256</v>
      </c>
      <c r="L245" s="9">
        <v>2024</v>
      </c>
      <c r="M245" s="8" t="s">
        <v>1640</v>
      </c>
      <c r="N245" s="8" t="s">
        <v>41</v>
      </c>
      <c r="O245" s="8" t="s">
        <v>42</v>
      </c>
      <c r="P245" s="6" t="s">
        <v>43</v>
      </c>
      <c r="Q245" s="8" t="s">
        <v>56</v>
      </c>
      <c r="R245" s="10" t="s">
        <v>1641</v>
      </c>
      <c r="S245" s="11" t="s">
        <v>1511</v>
      </c>
      <c r="T245" s="6"/>
      <c r="U245" s="27" t="str">
        <f>HYPERLINK("https://media.infra-m.ru/2104/2104120/cover/2104120.jpg", "Обложка")</f>
        <v>Обложка</v>
      </c>
      <c r="V245" s="27" t="str">
        <f>HYPERLINK("https://znanium.com/catalog/product/1912054", "Ознакомиться")</f>
        <v>Ознакомиться</v>
      </c>
      <c r="W245" s="8" t="s">
        <v>1642</v>
      </c>
      <c r="X245" s="6"/>
      <c r="Y245" s="6"/>
      <c r="Z245" s="6"/>
      <c r="AA245" s="6" t="s">
        <v>602</v>
      </c>
    </row>
    <row r="246" spans="1:27" s="4" customFormat="1" ht="51.95" customHeight="1">
      <c r="A246" s="5">
        <v>0</v>
      </c>
      <c r="B246" s="6" t="s">
        <v>1643</v>
      </c>
      <c r="C246" s="7">
        <v>914.9</v>
      </c>
      <c r="D246" s="8" t="s">
        <v>1644</v>
      </c>
      <c r="E246" s="8" t="s">
        <v>1645</v>
      </c>
      <c r="F246" s="8" t="s">
        <v>1646</v>
      </c>
      <c r="G246" s="6" t="s">
        <v>92</v>
      </c>
      <c r="H246" s="6" t="s">
        <v>38</v>
      </c>
      <c r="I246" s="8" t="s">
        <v>73</v>
      </c>
      <c r="J246" s="9">
        <v>1</v>
      </c>
      <c r="K246" s="9">
        <v>313</v>
      </c>
      <c r="L246" s="9">
        <v>2018</v>
      </c>
      <c r="M246" s="8" t="s">
        <v>1647</v>
      </c>
      <c r="N246" s="8" t="s">
        <v>41</v>
      </c>
      <c r="O246" s="8" t="s">
        <v>42</v>
      </c>
      <c r="P246" s="6" t="s">
        <v>55</v>
      </c>
      <c r="Q246" s="8" t="s">
        <v>75</v>
      </c>
      <c r="R246" s="10" t="s">
        <v>1492</v>
      </c>
      <c r="S246" s="11" t="s">
        <v>1648</v>
      </c>
      <c r="T246" s="6"/>
      <c r="U246" s="27" t="str">
        <f>HYPERLINK("https://media.infra-m.ru/0935/0935429/cover/935429.jpg", "Обложка")</f>
        <v>Обложка</v>
      </c>
      <c r="V246" s="27" t="str">
        <f>HYPERLINK("https://znanium.com/catalog/product/1940014", "Ознакомиться")</f>
        <v>Ознакомиться</v>
      </c>
      <c r="W246" s="8" t="s">
        <v>1024</v>
      </c>
      <c r="X246" s="6"/>
      <c r="Y246" s="6"/>
      <c r="Z246" s="6"/>
      <c r="AA246" s="6" t="s">
        <v>213</v>
      </c>
    </row>
    <row r="247" spans="1:27" s="4" customFormat="1" ht="51.95" customHeight="1">
      <c r="A247" s="5">
        <v>0</v>
      </c>
      <c r="B247" s="6" t="s">
        <v>1649</v>
      </c>
      <c r="C247" s="13">
        <v>1324</v>
      </c>
      <c r="D247" s="8" t="s">
        <v>1650</v>
      </c>
      <c r="E247" s="8" t="s">
        <v>1633</v>
      </c>
      <c r="F247" s="8" t="s">
        <v>1651</v>
      </c>
      <c r="G247" s="6" t="s">
        <v>92</v>
      </c>
      <c r="H247" s="6" t="s">
        <v>38</v>
      </c>
      <c r="I247" s="8" t="s">
        <v>73</v>
      </c>
      <c r="J247" s="9">
        <v>1</v>
      </c>
      <c r="K247" s="9">
        <v>287</v>
      </c>
      <c r="L247" s="9">
        <v>2024</v>
      </c>
      <c r="M247" s="8" t="s">
        <v>1652</v>
      </c>
      <c r="N247" s="8" t="s">
        <v>41</v>
      </c>
      <c r="O247" s="8" t="s">
        <v>42</v>
      </c>
      <c r="P247" s="6" t="s">
        <v>55</v>
      </c>
      <c r="Q247" s="8" t="s">
        <v>75</v>
      </c>
      <c r="R247" s="10" t="s">
        <v>1653</v>
      </c>
      <c r="S247" s="11" t="s">
        <v>1654</v>
      </c>
      <c r="T247" s="6"/>
      <c r="U247" s="27" t="str">
        <f>HYPERLINK("https://media.infra-m.ru/2087/2087741/cover/2087741.jpg", "Обложка")</f>
        <v>Обложка</v>
      </c>
      <c r="V247" s="27" t="str">
        <f>HYPERLINK("https://znanium.com/catalog/product/1067424", "Ознакомиться")</f>
        <v>Ознакомиться</v>
      </c>
      <c r="W247" s="8" t="s">
        <v>329</v>
      </c>
      <c r="X247" s="6"/>
      <c r="Y247" s="6"/>
      <c r="Z247" s="6"/>
      <c r="AA247" s="6" t="s">
        <v>933</v>
      </c>
    </row>
    <row r="248" spans="1:27" s="4" customFormat="1" ht="51.95" customHeight="1">
      <c r="A248" s="5">
        <v>0</v>
      </c>
      <c r="B248" s="6" t="s">
        <v>1655</v>
      </c>
      <c r="C248" s="13">
        <v>1914</v>
      </c>
      <c r="D248" s="8" t="s">
        <v>1656</v>
      </c>
      <c r="E248" s="8" t="s">
        <v>1657</v>
      </c>
      <c r="F248" s="8" t="s">
        <v>1658</v>
      </c>
      <c r="G248" s="6" t="s">
        <v>92</v>
      </c>
      <c r="H248" s="6" t="s">
        <v>93</v>
      </c>
      <c r="I248" s="8"/>
      <c r="J248" s="9">
        <v>1</v>
      </c>
      <c r="K248" s="9">
        <v>416</v>
      </c>
      <c r="L248" s="9">
        <v>2024</v>
      </c>
      <c r="M248" s="8" t="s">
        <v>1659</v>
      </c>
      <c r="N248" s="8" t="s">
        <v>41</v>
      </c>
      <c r="O248" s="8" t="s">
        <v>42</v>
      </c>
      <c r="P248" s="6" t="s">
        <v>55</v>
      </c>
      <c r="Q248" s="8" t="s">
        <v>75</v>
      </c>
      <c r="R248" s="10" t="s">
        <v>1660</v>
      </c>
      <c r="S248" s="11" t="s">
        <v>1661</v>
      </c>
      <c r="T248" s="6"/>
      <c r="U248" s="27" t="str">
        <f>HYPERLINK("https://media.infra-m.ru/2056/2056655/cover/2056655.jpg", "Обложка")</f>
        <v>Обложка</v>
      </c>
      <c r="V248" s="27" t="str">
        <f>HYPERLINK("https://znanium.com/catalog/product/969593", "Ознакомиться")</f>
        <v>Ознакомиться</v>
      </c>
      <c r="W248" s="8" t="s">
        <v>97</v>
      </c>
      <c r="X248" s="6"/>
      <c r="Y248" s="6"/>
      <c r="Z248" s="6"/>
      <c r="AA248" s="6" t="s">
        <v>1662</v>
      </c>
    </row>
    <row r="249" spans="1:27" s="4" customFormat="1" ht="51.95" customHeight="1">
      <c r="A249" s="5">
        <v>0</v>
      </c>
      <c r="B249" s="6" t="s">
        <v>1663</v>
      </c>
      <c r="C249" s="13">
        <v>1084.9000000000001</v>
      </c>
      <c r="D249" s="8" t="s">
        <v>1664</v>
      </c>
      <c r="E249" s="8" t="s">
        <v>1665</v>
      </c>
      <c r="F249" s="8" t="s">
        <v>1666</v>
      </c>
      <c r="G249" s="6" t="s">
        <v>92</v>
      </c>
      <c r="H249" s="6" t="s">
        <v>424</v>
      </c>
      <c r="I249" s="8" t="s">
        <v>425</v>
      </c>
      <c r="J249" s="9">
        <v>1</v>
      </c>
      <c r="K249" s="9">
        <v>240</v>
      </c>
      <c r="L249" s="9">
        <v>2023</v>
      </c>
      <c r="M249" s="8" t="s">
        <v>1667</v>
      </c>
      <c r="N249" s="8" t="s">
        <v>41</v>
      </c>
      <c r="O249" s="8" t="s">
        <v>42</v>
      </c>
      <c r="P249" s="6" t="s">
        <v>43</v>
      </c>
      <c r="Q249" s="8" t="s">
        <v>56</v>
      </c>
      <c r="R249" s="10" t="s">
        <v>932</v>
      </c>
      <c r="S249" s="11" t="s">
        <v>1668</v>
      </c>
      <c r="T249" s="6"/>
      <c r="U249" s="27" t="str">
        <f>HYPERLINK("https://media.infra-m.ru/1894/1894508/cover/1894508.jpg", "Обложка")</f>
        <v>Обложка</v>
      </c>
      <c r="V249" s="27" t="str">
        <f>HYPERLINK("https://znanium.com/catalog/product/2029815", "Ознакомиться")</f>
        <v>Ознакомиться</v>
      </c>
      <c r="W249" s="8" t="s">
        <v>314</v>
      </c>
      <c r="X249" s="6"/>
      <c r="Y249" s="6"/>
      <c r="Z249" s="6"/>
      <c r="AA249" s="6" t="s">
        <v>150</v>
      </c>
    </row>
    <row r="250" spans="1:27" s="4" customFormat="1" ht="51.95" customHeight="1">
      <c r="A250" s="5">
        <v>0</v>
      </c>
      <c r="B250" s="6" t="s">
        <v>1669</v>
      </c>
      <c r="C250" s="13">
        <v>1100</v>
      </c>
      <c r="D250" s="8" t="s">
        <v>1670</v>
      </c>
      <c r="E250" s="8" t="s">
        <v>1671</v>
      </c>
      <c r="F250" s="8" t="s">
        <v>1672</v>
      </c>
      <c r="G250" s="6" t="s">
        <v>37</v>
      </c>
      <c r="H250" s="6" t="s">
        <v>38</v>
      </c>
      <c r="I250" s="8" t="s">
        <v>53</v>
      </c>
      <c r="J250" s="9">
        <v>1</v>
      </c>
      <c r="K250" s="9">
        <v>240</v>
      </c>
      <c r="L250" s="9">
        <v>2024</v>
      </c>
      <c r="M250" s="8" t="s">
        <v>1673</v>
      </c>
      <c r="N250" s="8" t="s">
        <v>41</v>
      </c>
      <c r="O250" s="8" t="s">
        <v>42</v>
      </c>
      <c r="P250" s="6" t="s">
        <v>43</v>
      </c>
      <c r="Q250" s="8" t="s">
        <v>56</v>
      </c>
      <c r="R250" s="10" t="s">
        <v>932</v>
      </c>
      <c r="S250" s="11" t="s">
        <v>1668</v>
      </c>
      <c r="T250" s="6"/>
      <c r="U250" s="27" t="str">
        <f>HYPERLINK("https://media.infra-m.ru/2029/2029815/cover/2029815.jpg", "Обложка")</f>
        <v>Обложка</v>
      </c>
      <c r="V250" s="27" t="str">
        <f>HYPERLINK("https://znanium.com/catalog/product/2029815", "Ознакомиться")</f>
        <v>Ознакомиться</v>
      </c>
      <c r="W250" s="8" t="s">
        <v>314</v>
      </c>
      <c r="X250" s="6"/>
      <c r="Y250" s="6"/>
      <c r="Z250" s="6"/>
      <c r="AA250" s="6" t="s">
        <v>565</v>
      </c>
    </row>
    <row r="251" spans="1:27" s="4" customFormat="1" ht="51.95" customHeight="1">
      <c r="A251" s="5">
        <v>0</v>
      </c>
      <c r="B251" s="6" t="s">
        <v>1674</v>
      </c>
      <c r="C251" s="13">
        <v>1154.9000000000001</v>
      </c>
      <c r="D251" s="8" t="s">
        <v>1675</v>
      </c>
      <c r="E251" s="8" t="s">
        <v>1676</v>
      </c>
      <c r="F251" s="8" t="s">
        <v>1677</v>
      </c>
      <c r="G251" s="6" t="s">
        <v>92</v>
      </c>
      <c r="H251" s="6" t="s">
        <v>38</v>
      </c>
      <c r="I251" s="8" t="s">
        <v>73</v>
      </c>
      <c r="J251" s="9">
        <v>1</v>
      </c>
      <c r="K251" s="9">
        <v>256</v>
      </c>
      <c r="L251" s="9">
        <v>2023</v>
      </c>
      <c r="M251" s="8" t="s">
        <v>1678</v>
      </c>
      <c r="N251" s="8" t="s">
        <v>41</v>
      </c>
      <c r="O251" s="8" t="s">
        <v>42</v>
      </c>
      <c r="P251" s="6" t="s">
        <v>43</v>
      </c>
      <c r="Q251" s="8" t="s">
        <v>75</v>
      </c>
      <c r="R251" s="10" t="s">
        <v>1679</v>
      </c>
      <c r="S251" s="11" t="s">
        <v>1680</v>
      </c>
      <c r="T251" s="6" t="s">
        <v>59</v>
      </c>
      <c r="U251" s="27" t="str">
        <f>HYPERLINK("https://media.infra-m.ru/1911/1911210/cover/1911210.jpg", "Обложка")</f>
        <v>Обложка</v>
      </c>
      <c r="V251" s="27" t="str">
        <f>HYPERLINK("https://znanium.com/catalog/product/1284348", "Ознакомиться")</f>
        <v>Ознакомиться</v>
      </c>
      <c r="W251" s="8" t="s">
        <v>1681</v>
      </c>
      <c r="X251" s="6"/>
      <c r="Y251" s="6"/>
      <c r="Z251" s="6"/>
      <c r="AA251" s="6" t="s">
        <v>346</v>
      </c>
    </row>
    <row r="252" spans="1:27" s="4" customFormat="1" ht="51.95" customHeight="1">
      <c r="A252" s="5">
        <v>0</v>
      </c>
      <c r="B252" s="6" t="s">
        <v>1682</v>
      </c>
      <c r="C252" s="13">
        <v>1584.9</v>
      </c>
      <c r="D252" s="8" t="s">
        <v>1683</v>
      </c>
      <c r="E252" s="8" t="s">
        <v>1684</v>
      </c>
      <c r="F252" s="8" t="s">
        <v>1685</v>
      </c>
      <c r="G252" s="6" t="s">
        <v>92</v>
      </c>
      <c r="H252" s="6" t="s">
        <v>38</v>
      </c>
      <c r="I252" s="8" t="s">
        <v>132</v>
      </c>
      <c r="J252" s="9">
        <v>1</v>
      </c>
      <c r="K252" s="9">
        <v>352</v>
      </c>
      <c r="L252" s="9">
        <v>2023</v>
      </c>
      <c r="M252" s="8" t="s">
        <v>1686</v>
      </c>
      <c r="N252" s="8" t="s">
        <v>41</v>
      </c>
      <c r="O252" s="8" t="s">
        <v>42</v>
      </c>
      <c r="P252" s="6" t="s">
        <v>43</v>
      </c>
      <c r="Q252" s="8" t="s">
        <v>75</v>
      </c>
      <c r="R252" s="10" t="s">
        <v>482</v>
      </c>
      <c r="S252" s="11" t="s">
        <v>1687</v>
      </c>
      <c r="T252" s="6"/>
      <c r="U252" s="27" t="str">
        <f>HYPERLINK("https://media.infra-m.ru/1904/1904344/cover/1904344.jpg", "Обложка")</f>
        <v>Обложка</v>
      </c>
      <c r="V252" s="27" t="str">
        <f>HYPERLINK("https://znanium.com/catalog/product/1843578", "Ознакомиться")</f>
        <v>Ознакомиться</v>
      </c>
      <c r="W252" s="8" t="s">
        <v>221</v>
      </c>
      <c r="X252" s="6"/>
      <c r="Y252" s="6"/>
      <c r="Z252" s="6"/>
      <c r="AA252" s="6" t="s">
        <v>150</v>
      </c>
    </row>
    <row r="253" spans="1:27" s="4" customFormat="1" ht="51.95" customHeight="1">
      <c r="A253" s="5">
        <v>0</v>
      </c>
      <c r="B253" s="6" t="s">
        <v>1688</v>
      </c>
      <c r="C253" s="7">
        <v>850</v>
      </c>
      <c r="D253" s="8" t="s">
        <v>1689</v>
      </c>
      <c r="E253" s="8" t="s">
        <v>1684</v>
      </c>
      <c r="F253" s="8" t="s">
        <v>1690</v>
      </c>
      <c r="G253" s="6" t="s">
        <v>37</v>
      </c>
      <c r="H253" s="6" t="s">
        <v>38</v>
      </c>
      <c r="I253" s="8" t="s">
        <v>73</v>
      </c>
      <c r="J253" s="9">
        <v>1</v>
      </c>
      <c r="K253" s="9">
        <v>189</v>
      </c>
      <c r="L253" s="9">
        <v>2023</v>
      </c>
      <c r="M253" s="8" t="s">
        <v>1691</v>
      </c>
      <c r="N253" s="8" t="s">
        <v>41</v>
      </c>
      <c r="O253" s="8" t="s">
        <v>42</v>
      </c>
      <c r="P253" s="6" t="s">
        <v>43</v>
      </c>
      <c r="Q253" s="8" t="s">
        <v>75</v>
      </c>
      <c r="R253" s="10" t="s">
        <v>482</v>
      </c>
      <c r="S253" s="11" t="s">
        <v>1692</v>
      </c>
      <c r="T253" s="6"/>
      <c r="U253" s="27" t="str">
        <f>HYPERLINK("https://media.infra-m.ru/1930/1930711/cover/1930711.jpg", "Обложка")</f>
        <v>Обложка</v>
      </c>
      <c r="V253" s="27" t="str">
        <f>HYPERLINK("https://znanium.com/catalog/product/1930711", "Ознакомиться")</f>
        <v>Ознакомиться</v>
      </c>
      <c r="W253" s="8" t="s">
        <v>1693</v>
      </c>
      <c r="X253" s="6"/>
      <c r="Y253" s="6"/>
      <c r="Z253" s="6"/>
      <c r="AA253" s="6" t="s">
        <v>213</v>
      </c>
    </row>
    <row r="254" spans="1:27" s="4" customFormat="1" ht="51.95" customHeight="1">
      <c r="A254" s="5">
        <v>0</v>
      </c>
      <c r="B254" s="6" t="s">
        <v>1694</v>
      </c>
      <c r="C254" s="13">
        <v>1554</v>
      </c>
      <c r="D254" s="8" t="s">
        <v>1695</v>
      </c>
      <c r="E254" s="8" t="s">
        <v>1696</v>
      </c>
      <c r="F254" s="8" t="s">
        <v>1697</v>
      </c>
      <c r="G254" s="6" t="s">
        <v>37</v>
      </c>
      <c r="H254" s="6" t="s">
        <v>38</v>
      </c>
      <c r="I254" s="8"/>
      <c r="J254" s="9">
        <v>1</v>
      </c>
      <c r="K254" s="9">
        <v>336</v>
      </c>
      <c r="L254" s="9">
        <v>2024</v>
      </c>
      <c r="M254" s="8" t="s">
        <v>1698</v>
      </c>
      <c r="N254" s="8" t="s">
        <v>41</v>
      </c>
      <c r="O254" s="8" t="s">
        <v>42</v>
      </c>
      <c r="P254" s="6" t="s">
        <v>43</v>
      </c>
      <c r="Q254" s="8" t="s">
        <v>75</v>
      </c>
      <c r="R254" s="10" t="s">
        <v>1699</v>
      </c>
      <c r="S254" s="11" t="s">
        <v>1700</v>
      </c>
      <c r="T254" s="6"/>
      <c r="U254" s="27" t="str">
        <f>HYPERLINK("https://media.infra-m.ru/2029/2029881/cover/2029881.jpg", "Обложка")</f>
        <v>Обложка</v>
      </c>
      <c r="V254" s="27" t="str">
        <f>HYPERLINK("https://znanium.com/catalog/product/1875211", "Ознакомиться")</f>
        <v>Ознакомиться</v>
      </c>
      <c r="W254" s="8" t="s">
        <v>1701</v>
      </c>
      <c r="X254" s="6"/>
      <c r="Y254" s="6"/>
      <c r="Z254" s="6"/>
      <c r="AA254" s="6" t="s">
        <v>864</v>
      </c>
    </row>
    <row r="255" spans="1:27" s="4" customFormat="1" ht="51.95" customHeight="1">
      <c r="A255" s="5">
        <v>0</v>
      </c>
      <c r="B255" s="6" t="s">
        <v>1702</v>
      </c>
      <c r="C255" s="13">
        <v>1550</v>
      </c>
      <c r="D255" s="8" t="s">
        <v>1703</v>
      </c>
      <c r="E255" s="8" t="s">
        <v>1696</v>
      </c>
      <c r="F255" s="8" t="s">
        <v>1697</v>
      </c>
      <c r="G255" s="6" t="s">
        <v>37</v>
      </c>
      <c r="H255" s="6" t="s">
        <v>38</v>
      </c>
      <c r="I255" s="8" t="s">
        <v>53</v>
      </c>
      <c r="J255" s="9">
        <v>1</v>
      </c>
      <c r="K255" s="9">
        <v>336</v>
      </c>
      <c r="L255" s="9">
        <v>2024</v>
      </c>
      <c r="M255" s="8" t="s">
        <v>1704</v>
      </c>
      <c r="N255" s="8" t="s">
        <v>41</v>
      </c>
      <c r="O255" s="8" t="s">
        <v>42</v>
      </c>
      <c r="P255" s="6" t="s">
        <v>43</v>
      </c>
      <c r="Q255" s="8" t="s">
        <v>56</v>
      </c>
      <c r="R255" s="10" t="s">
        <v>1705</v>
      </c>
      <c r="S255" s="11" t="s">
        <v>1706</v>
      </c>
      <c r="T255" s="6"/>
      <c r="U255" s="27" t="str">
        <f>HYPERLINK("https://media.infra-m.ru/2079/2079940/cover/2079940.jpg", "Обложка")</f>
        <v>Обложка</v>
      </c>
      <c r="V255" s="27" t="str">
        <f>HYPERLINK("https://znanium.com/catalog/product/2079940", "Ознакомиться")</f>
        <v>Ознакомиться</v>
      </c>
      <c r="W255" s="8" t="s">
        <v>1701</v>
      </c>
      <c r="X255" s="6"/>
      <c r="Y255" s="6"/>
      <c r="Z255" s="6" t="s">
        <v>60</v>
      </c>
      <c r="AA255" s="6" t="s">
        <v>559</v>
      </c>
    </row>
    <row r="256" spans="1:27" s="4" customFormat="1" ht="51.95" customHeight="1">
      <c r="A256" s="5">
        <v>0</v>
      </c>
      <c r="B256" s="6" t="s">
        <v>1707</v>
      </c>
      <c r="C256" s="13">
        <v>1020</v>
      </c>
      <c r="D256" s="8" t="s">
        <v>1708</v>
      </c>
      <c r="E256" s="8" t="s">
        <v>1709</v>
      </c>
      <c r="F256" s="8" t="s">
        <v>1710</v>
      </c>
      <c r="G256" s="6" t="s">
        <v>37</v>
      </c>
      <c r="H256" s="6" t="s">
        <v>38</v>
      </c>
      <c r="I256" s="8" t="s">
        <v>53</v>
      </c>
      <c r="J256" s="9">
        <v>1</v>
      </c>
      <c r="K256" s="9">
        <v>221</v>
      </c>
      <c r="L256" s="9">
        <v>2023</v>
      </c>
      <c r="M256" s="8" t="s">
        <v>1711</v>
      </c>
      <c r="N256" s="8" t="s">
        <v>41</v>
      </c>
      <c r="O256" s="8" t="s">
        <v>42</v>
      </c>
      <c r="P256" s="6" t="s">
        <v>43</v>
      </c>
      <c r="Q256" s="8" t="s">
        <v>56</v>
      </c>
      <c r="R256" s="10" t="s">
        <v>528</v>
      </c>
      <c r="S256" s="11" t="s">
        <v>1712</v>
      </c>
      <c r="T256" s="6"/>
      <c r="U256" s="27" t="str">
        <f>HYPERLINK("https://media.infra-m.ru/1976/1976197/cover/1976197.jpg", "Обложка")</f>
        <v>Обложка</v>
      </c>
      <c r="V256" s="27" t="str">
        <f>HYPERLINK("https://znanium.com/catalog/product/1976197", "Ознакомиться")</f>
        <v>Ознакомиться</v>
      </c>
      <c r="W256" s="8" t="s">
        <v>1713</v>
      </c>
      <c r="X256" s="6"/>
      <c r="Y256" s="6"/>
      <c r="Z256" s="6"/>
      <c r="AA256" s="6" t="s">
        <v>382</v>
      </c>
    </row>
    <row r="257" spans="1:27" s="4" customFormat="1" ht="51.95" customHeight="1">
      <c r="A257" s="5">
        <v>0</v>
      </c>
      <c r="B257" s="6" t="s">
        <v>1714</v>
      </c>
      <c r="C257" s="13">
        <v>2594</v>
      </c>
      <c r="D257" s="8" t="s">
        <v>1715</v>
      </c>
      <c r="E257" s="8" t="s">
        <v>1716</v>
      </c>
      <c r="F257" s="8" t="s">
        <v>1717</v>
      </c>
      <c r="G257" s="6" t="s">
        <v>92</v>
      </c>
      <c r="H257" s="6" t="s">
        <v>38</v>
      </c>
      <c r="I257" s="8" t="s">
        <v>53</v>
      </c>
      <c r="J257" s="9">
        <v>1</v>
      </c>
      <c r="K257" s="9">
        <v>567</v>
      </c>
      <c r="L257" s="9">
        <v>2024</v>
      </c>
      <c r="M257" s="8" t="s">
        <v>1718</v>
      </c>
      <c r="N257" s="8" t="s">
        <v>41</v>
      </c>
      <c r="O257" s="8" t="s">
        <v>42</v>
      </c>
      <c r="P257" s="6" t="s">
        <v>43</v>
      </c>
      <c r="Q257" s="8" t="s">
        <v>56</v>
      </c>
      <c r="R257" s="10" t="s">
        <v>163</v>
      </c>
      <c r="S257" s="11" t="s">
        <v>1719</v>
      </c>
      <c r="T257" s="6"/>
      <c r="U257" s="27" t="str">
        <f>HYPERLINK("https://media.infra-m.ru/2105/2105785/cover/2105785.jpg", "Обложка")</f>
        <v>Обложка</v>
      </c>
      <c r="V257" s="27" t="str">
        <f>HYPERLINK("https://znanium.com/catalog/product/1855504", "Ознакомиться")</f>
        <v>Ознакомиться</v>
      </c>
      <c r="W257" s="8" t="s">
        <v>665</v>
      </c>
      <c r="X257" s="6"/>
      <c r="Y257" s="6"/>
      <c r="Z257" s="6"/>
      <c r="AA257" s="6" t="s">
        <v>299</v>
      </c>
    </row>
    <row r="258" spans="1:27" s="4" customFormat="1" ht="42" customHeight="1">
      <c r="A258" s="5">
        <v>0</v>
      </c>
      <c r="B258" s="6" t="s">
        <v>1720</v>
      </c>
      <c r="C258" s="13">
        <v>1450</v>
      </c>
      <c r="D258" s="8" t="s">
        <v>1721</v>
      </c>
      <c r="E258" s="8" t="s">
        <v>1722</v>
      </c>
      <c r="F258" s="8" t="s">
        <v>1723</v>
      </c>
      <c r="G258" s="6" t="s">
        <v>92</v>
      </c>
      <c r="H258" s="6" t="s">
        <v>38</v>
      </c>
      <c r="I258" s="8" t="s">
        <v>53</v>
      </c>
      <c r="J258" s="9">
        <v>1</v>
      </c>
      <c r="K258" s="9">
        <v>306</v>
      </c>
      <c r="L258" s="9">
        <v>2024</v>
      </c>
      <c r="M258" s="8" t="s">
        <v>1724</v>
      </c>
      <c r="N258" s="8" t="s">
        <v>41</v>
      </c>
      <c r="O258" s="8" t="s">
        <v>42</v>
      </c>
      <c r="P258" s="6" t="s">
        <v>55</v>
      </c>
      <c r="Q258" s="8" t="s">
        <v>56</v>
      </c>
      <c r="R258" s="10" t="s">
        <v>140</v>
      </c>
      <c r="S258" s="11"/>
      <c r="T258" s="6"/>
      <c r="U258" s="27" t="str">
        <f>HYPERLINK("https://media.infra-m.ru/1882/1882572/cover/1882572.jpg", "Обложка")</f>
        <v>Обложка</v>
      </c>
      <c r="V258" s="27" t="str">
        <f>HYPERLINK("https://znanium.com/catalog/product/1882572", "Ознакомиться")</f>
        <v>Ознакомиться</v>
      </c>
      <c r="W258" s="8" t="s">
        <v>1725</v>
      </c>
      <c r="X258" s="6" t="s">
        <v>1726</v>
      </c>
      <c r="Y258" s="6"/>
      <c r="Z258" s="6"/>
      <c r="AA258" s="6" t="s">
        <v>435</v>
      </c>
    </row>
    <row r="259" spans="1:27" s="4" customFormat="1" ht="51.95" customHeight="1">
      <c r="A259" s="5">
        <v>0</v>
      </c>
      <c r="B259" s="6" t="s">
        <v>1727</v>
      </c>
      <c r="C259" s="13">
        <v>1510</v>
      </c>
      <c r="D259" s="8" t="s">
        <v>1728</v>
      </c>
      <c r="E259" s="8" t="s">
        <v>1729</v>
      </c>
      <c r="F259" s="8" t="s">
        <v>1717</v>
      </c>
      <c r="G259" s="6" t="s">
        <v>92</v>
      </c>
      <c r="H259" s="6" t="s">
        <v>38</v>
      </c>
      <c r="I259" s="8" t="s">
        <v>53</v>
      </c>
      <c r="J259" s="9">
        <v>1</v>
      </c>
      <c r="K259" s="9">
        <v>328</v>
      </c>
      <c r="L259" s="9">
        <v>2023</v>
      </c>
      <c r="M259" s="8" t="s">
        <v>1730</v>
      </c>
      <c r="N259" s="8" t="s">
        <v>41</v>
      </c>
      <c r="O259" s="8" t="s">
        <v>42</v>
      </c>
      <c r="P259" s="6" t="s">
        <v>43</v>
      </c>
      <c r="Q259" s="8" t="s">
        <v>56</v>
      </c>
      <c r="R259" s="10" t="s">
        <v>881</v>
      </c>
      <c r="S259" s="11" t="s">
        <v>1731</v>
      </c>
      <c r="T259" s="6"/>
      <c r="U259" s="27" t="str">
        <f>HYPERLINK("https://media.infra-m.ru/1072/1072197/cover/1072197.jpg", "Обложка")</f>
        <v>Обложка</v>
      </c>
      <c r="V259" s="27" t="str">
        <f>HYPERLINK("https://znanium.com/catalog/product/1072197", "Ознакомиться")</f>
        <v>Ознакомиться</v>
      </c>
      <c r="W259" s="8" t="s">
        <v>665</v>
      </c>
      <c r="X259" s="6" t="s">
        <v>1732</v>
      </c>
      <c r="Y259" s="6"/>
      <c r="Z259" s="6"/>
      <c r="AA259" s="6" t="s">
        <v>461</v>
      </c>
    </row>
    <row r="260" spans="1:27" s="4" customFormat="1" ht="51.95" customHeight="1">
      <c r="A260" s="5">
        <v>0</v>
      </c>
      <c r="B260" s="6" t="s">
        <v>1733</v>
      </c>
      <c r="C260" s="13">
        <v>1874</v>
      </c>
      <c r="D260" s="8" t="s">
        <v>1734</v>
      </c>
      <c r="E260" s="8" t="s">
        <v>1735</v>
      </c>
      <c r="F260" s="8" t="s">
        <v>1736</v>
      </c>
      <c r="G260" s="6" t="s">
        <v>92</v>
      </c>
      <c r="H260" s="6" t="s">
        <v>424</v>
      </c>
      <c r="I260" s="8" t="s">
        <v>351</v>
      </c>
      <c r="J260" s="9">
        <v>1</v>
      </c>
      <c r="K260" s="9">
        <v>624</v>
      </c>
      <c r="L260" s="9">
        <v>2024</v>
      </c>
      <c r="M260" s="8" t="s">
        <v>1737</v>
      </c>
      <c r="N260" s="8" t="s">
        <v>41</v>
      </c>
      <c r="O260" s="8" t="s">
        <v>42</v>
      </c>
      <c r="P260" s="6" t="s">
        <v>43</v>
      </c>
      <c r="Q260" s="8" t="s">
        <v>75</v>
      </c>
      <c r="R260" s="10" t="s">
        <v>676</v>
      </c>
      <c r="S260" s="11" t="s">
        <v>1738</v>
      </c>
      <c r="T260" s="6"/>
      <c r="U260" s="27" t="str">
        <f>HYPERLINK("https://media.infra-m.ru/2103/2103741/cover/2103741.jpg", "Обложка")</f>
        <v>Обложка</v>
      </c>
      <c r="V260" s="27" t="str">
        <f>HYPERLINK("https://znanium.com/catalog/product/1057217", "Ознакомиться")</f>
        <v>Ознакомиться</v>
      </c>
      <c r="W260" s="8" t="s">
        <v>642</v>
      </c>
      <c r="X260" s="6"/>
      <c r="Y260" s="6"/>
      <c r="Z260" s="6"/>
      <c r="AA260" s="6" t="s">
        <v>451</v>
      </c>
    </row>
    <row r="261" spans="1:27" s="4" customFormat="1" ht="51.95" customHeight="1">
      <c r="A261" s="5">
        <v>0</v>
      </c>
      <c r="B261" s="6" t="s">
        <v>1739</v>
      </c>
      <c r="C261" s="13">
        <v>1040</v>
      </c>
      <c r="D261" s="8" t="s">
        <v>1740</v>
      </c>
      <c r="E261" s="8" t="s">
        <v>1741</v>
      </c>
      <c r="F261" s="8" t="s">
        <v>1742</v>
      </c>
      <c r="G261" s="6" t="s">
        <v>37</v>
      </c>
      <c r="H261" s="6" t="s">
        <v>209</v>
      </c>
      <c r="I261" s="8" t="s">
        <v>286</v>
      </c>
      <c r="J261" s="9">
        <v>1</v>
      </c>
      <c r="K261" s="9">
        <v>229</v>
      </c>
      <c r="L261" s="9">
        <v>2023</v>
      </c>
      <c r="M261" s="8" t="s">
        <v>1743</v>
      </c>
      <c r="N261" s="8" t="s">
        <v>41</v>
      </c>
      <c r="O261" s="8" t="s">
        <v>502</v>
      </c>
      <c r="P261" s="6" t="s">
        <v>55</v>
      </c>
      <c r="Q261" s="8" t="s">
        <v>56</v>
      </c>
      <c r="R261" s="10" t="s">
        <v>1744</v>
      </c>
      <c r="S261" s="11"/>
      <c r="T261" s="6"/>
      <c r="U261" s="27" t="str">
        <f>HYPERLINK("https://media.infra-m.ru/2051/2051246/cover/2051246.jpg", "Обложка")</f>
        <v>Обложка</v>
      </c>
      <c r="V261" s="27" t="str">
        <f>HYPERLINK("https://znanium.com/catalog/product/2051246", "Ознакомиться")</f>
        <v>Ознакомиться</v>
      </c>
      <c r="W261" s="8" t="s">
        <v>1745</v>
      </c>
      <c r="X261" s="6"/>
      <c r="Y261" s="6"/>
      <c r="Z261" s="6"/>
      <c r="AA261" s="6" t="s">
        <v>346</v>
      </c>
    </row>
    <row r="262" spans="1:27" s="4" customFormat="1" ht="51.95" customHeight="1">
      <c r="A262" s="5">
        <v>0</v>
      </c>
      <c r="B262" s="6" t="s">
        <v>1746</v>
      </c>
      <c r="C262" s="7">
        <v>744.9</v>
      </c>
      <c r="D262" s="8" t="s">
        <v>1747</v>
      </c>
      <c r="E262" s="8" t="s">
        <v>1748</v>
      </c>
      <c r="F262" s="8" t="s">
        <v>1749</v>
      </c>
      <c r="G262" s="6" t="s">
        <v>119</v>
      </c>
      <c r="H262" s="6" t="s">
        <v>38</v>
      </c>
      <c r="I262" s="8" t="s">
        <v>73</v>
      </c>
      <c r="J262" s="9">
        <v>1</v>
      </c>
      <c r="K262" s="9">
        <v>232</v>
      </c>
      <c r="L262" s="9">
        <v>2019</v>
      </c>
      <c r="M262" s="8" t="s">
        <v>1750</v>
      </c>
      <c r="N262" s="8" t="s">
        <v>41</v>
      </c>
      <c r="O262" s="8" t="s">
        <v>42</v>
      </c>
      <c r="P262" s="6" t="s">
        <v>43</v>
      </c>
      <c r="Q262" s="8" t="s">
        <v>75</v>
      </c>
      <c r="R262" s="10" t="s">
        <v>991</v>
      </c>
      <c r="S262" s="11" t="s">
        <v>1751</v>
      </c>
      <c r="T262" s="6"/>
      <c r="U262" s="27" t="str">
        <f>HYPERLINK("https://media.infra-m.ru/1002/1002625/cover/1002625.jpg", "Обложка")</f>
        <v>Обложка</v>
      </c>
      <c r="V262" s="27" t="str">
        <f>HYPERLINK("https://znanium.com/catalog/product/1002625", "Ознакомиться")</f>
        <v>Ознакомиться</v>
      </c>
      <c r="W262" s="8" t="s">
        <v>1752</v>
      </c>
      <c r="X262" s="6"/>
      <c r="Y262" s="6"/>
      <c r="Z262" s="6"/>
      <c r="AA262" s="6" t="s">
        <v>47</v>
      </c>
    </row>
    <row r="263" spans="1:27" s="4" customFormat="1" ht="42" customHeight="1">
      <c r="A263" s="5">
        <v>0</v>
      </c>
      <c r="B263" s="6" t="s">
        <v>1753</v>
      </c>
      <c r="C263" s="7">
        <v>854.9</v>
      </c>
      <c r="D263" s="8" t="s">
        <v>1754</v>
      </c>
      <c r="E263" s="8" t="s">
        <v>1755</v>
      </c>
      <c r="F263" s="8" t="s">
        <v>1756</v>
      </c>
      <c r="G263" s="6" t="s">
        <v>119</v>
      </c>
      <c r="H263" s="6" t="s">
        <v>209</v>
      </c>
      <c r="I263" s="8"/>
      <c r="J263" s="9">
        <v>1</v>
      </c>
      <c r="K263" s="9">
        <v>243</v>
      </c>
      <c r="L263" s="9">
        <v>2020</v>
      </c>
      <c r="M263" s="8" t="s">
        <v>1757</v>
      </c>
      <c r="N263" s="8" t="s">
        <v>41</v>
      </c>
      <c r="O263" s="8" t="s">
        <v>42</v>
      </c>
      <c r="P263" s="6" t="s">
        <v>122</v>
      </c>
      <c r="Q263" s="8" t="s">
        <v>123</v>
      </c>
      <c r="R263" s="10" t="s">
        <v>1758</v>
      </c>
      <c r="S263" s="11"/>
      <c r="T263" s="6"/>
      <c r="U263" s="27" t="str">
        <f>HYPERLINK("https://media.infra-m.ru/1044/1044578/cover/1044578.jpg", "Обложка")</f>
        <v>Обложка</v>
      </c>
      <c r="V263" s="27" t="str">
        <f>HYPERLINK("https://znanium.com/catalog/product/946020", "Ознакомиться")</f>
        <v>Ознакомиться</v>
      </c>
      <c r="W263" s="8" t="s">
        <v>1759</v>
      </c>
      <c r="X263" s="6"/>
      <c r="Y263" s="6"/>
      <c r="Z263" s="6"/>
      <c r="AA263" s="6" t="s">
        <v>61</v>
      </c>
    </row>
    <row r="264" spans="1:27" s="4" customFormat="1" ht="51.95" customHeight="1">
      <c r="A264" s="5">
        <v>0</v>
      </c>
      <c r="B264" s="6" t="s">
        <v>1760</v>
      </c>
      <c r="C264" s="7">
        <v>934.9</v>
      </c>
      <c r="D264" s="8" t="s">
        <v>1761</v>
      </c>
      <c r="E264" s="8" t="s">
        <v>1762</v>
      </c>
      <c r="F264" s="8" t="s">
        <v>1763</v>
      </c>
      <c r="G264" s="6" t="s">
        <v>119</v>
      </c>
      <c r="H264" s="6" t="s">
        <v>1120</v>
      </c>
      <c r="I264" s="8"/>
      <c r="J264" s="9">
        <v>1</v>
      </c>
      <c r="K264" s="9">
        <v>208</v>
      </c>
      <c r="L264" s="9">
        <v>2023</v>
      </c>
      <c r="M264" s="8" t="s">
        <v>1764</v>
      </c>
      <c r="N264" s="8" t="s">
        <v>41</v>
      </c>
      <c r="O264" s="8" t="s">
        <v>401</v>
      </c>
      <c r="P264" s="6" t="s">
        <v>122</v>
      </c>
      <c r="Q264" s="8" t="s">
        <v>186</v>
      </c>
      <c r="R264" s="10" t="s">
        <v>1765</v>
      </c>
      <c r="S264" s="11"/>
      <c r="T264" s="6"/>
      <c r="U264" s="27" t="str">
        <f>HYPERLINK("https://media.infra-m.ru/1913/1913694/cover/1913694.jpg", "Обложка")</f>
        <v>Обложка</v>
      </c>
      <c r="V264" s="27" t="str">
        <f>HYPERLINK("https://znanium.com/catalog/product/1002564", "Ознакомиться")</f>
        <v>Ознакомиться</v>
      </c>
      <c r="W264" s="8" t="s">
        <v>1375</v>
      </c>
      <c r="X264" s="6"/>
      <c r="Y264" s="6"/>
      <c r="Z264" s="6"/>
      <c r="AA264" s="6" t="s">
        <v>106</v>
      </c>
    </row>
    <row r="265" spans="1:27" s="4" customFormat="1" ht="51.95" customHeight="1">
      <c r="A265" s="5">
        <v>0</v>
      </c>
      <c r="B265" s="6" t="s">
        <v>1766</v>
      </c>
      <c r="C265" s="7">
        <v>480</v>
      </c>
      <c r="D265" s="8" t="s">
        <v>1767</v>
      </c>
      <c r="E265" s="8" t="s">
        <v>1768</v>
      </c>
      <c r="F265" s="8" t="s">
        <v>1769</v>
      </c>
      <c r="G265" s="6" t="s">
        <v>119</v>
      </c>
      <c r="H265" s="6" t="s">
        <v>717</v>
      </c>
      <c r="I265" s="8" t="s">
        <v>120</v>
      </c>
      <c r="J265" s="9">
        <v>1</v>
      </c>
      <c r="K265" s="9">
        <v>141</v>
      </c>
      <c r="L265" s="9">
        <v>2020</v>
      </c>
      <c r="M265" s="8" t="s">
        <v>1770</v>
      </c>
      <c r="N265" s="8" t="s">
        <v>41</v>
      </c>
      <c r="O265" s="8" t="s">
        <v>42</v>
      </c>
      <c r="P265" s="6" t="s">
        <v>122</v>
      </c>
      <c r="Q265" s="8" t="s">
        <v>123</v>
      </c>
      <c r="R265" s="10" t="s">
        <v>1771</v>
      </c>
      <c r="S265" s="11"/>
      <c r="T265" s="6"/>
      <c r="U265" s="27" t="str">
        <f>HYPERLINK("https://media.infra-m.ru/1036/1036571/cover/1036571.jpg", "Обложка")</f>
        <v>Обложка</v>
      </c>
      <c r="V265" s="27" t="str">
        <f>HYPERLINK("https://znanium.com/catalog/product/1036571", "Ознакомиться")</f>
        <v>Ознакомиться</v>
      </c>
      <c r="W265" s="8" t="s">
        <v>1375</v>
      </c>
      <c r="X265" s="6"/>
      <c r="Y265" s="6"/>
      <c r="Z265" s="6"/>
      <c r="AA265" s="6" t="s">
        <v>47</v>
      </c>
    </row>
    <row r="266" spans="1:27" s="4" customFormat="1" ht="51.95" customHeight="1">
      <c r="A266" s="5">
        <v>0</v>
      </c>
      <c r="B266" s="6" t="s">
        <v>1772</v>
      </c>
      <c r="C266" s="13">
        <v>1550</v>
      </c>
      <c r="D266" s="8" t="s">
        <v>1773</v>
      </c>
      <c r="E266" s="8" t="s">
        <v>1774</v>
      </c>
      <c r="F266" s="8" t="s">
        <v>1020</v>
      </c>
      <c r="G266" s="6" t="s">
        <v>37</v>
      </c>
      <c r="H266" s="6" t="s">
        <v>38</v>
      </c>
      <c r="I266" s="8" t="s">
        <v>73</v>
      </c>
      <c r="J266" s="9">
        <v>1</v>
      </c>
      <c r="K266" s="9">
        <v>345</v>
      </c>
      <c r="L266" s="9">
        <v>2023</v>
      </c>
      <c r="M266" s="8" t="s">
        <v>1775</v>
      </c>
      <c r="N266" s="8" t="s">
        <v>41</v>
      </c>
      <c r="O266" s="8" t="s">
        <v>42</v>
      </c>
      <c r="P266" s="6" t="s">
        <v>55</v>
      </c>
      <c r="Q266" s="8" t="s">
        <v>75</v>
      </c>
      <c r="R266" s="10" t="s">
        <v>1776</v>
      </c>
      <c r="S266" s="11" t="s">
        <v>1777</v>
      </c>
      <c r="T266" s="6" t="s">
        <v>59</v>
      </c>
      <c r="U266" s="27" t="str">
        <f>HYPERLINK("https://media.infra-m.ru/1933/1933143/cover/1933143.jpg", "Обложка")</f>
        <v>Обложка</v>
      </c>
      <c r="V266" s="27" t="str">
        <f>HYPERLINK("https://znanium.com/catalog/product/1933143", "Ознакомиться")</f>
        <v>Ознакомиться</v>
      </c>
      <c r="W266" s="8" t="s">
        <v>1024</v>
      </c>
      <c r="X266" s="6"/>
      <c r="Y266" s="6"/>
      <c r="Z266" s="6"/>
      <c r="AA266" s="6" t="s">
        <v>405</v>
      </c>
    </row>
    <row r="267" spans="1:27" s="4" customFormat="1" ht="51.95" customHeight="1">
      <c r="A267" s="5">
        <v>0</v>
      </c>
      <c r="B267" s="6" t="s">
        <v>1778</v>
      </c>
      <c r="C267" s="13">
        <v>1474</v>
      </c>
      <c r="D267" s="8" t="s">
        <v>1779</v>
      </c>
      <c r="E267" s="8" t="s">
        <v>1780</v>
      </c>
      <c r="F267" s="8" t="s">
        <v>1781</v>
      </c>
      <c r="G267" s="6" t="s">
        <v>92</v>
      </c>
      <c r="H267" s="6" t="s">
        <v>52</v>
      </c>
      <c r="I267" s="8"/>
      <c r="J267" s="9">
        <v>1</v>
      </c>
      <c r="K267" s="9">
        <v>320</v>
      </c>
      <c r="L267" s="9">
        <v>2024</v>
      </c>
      <c r="M267" s="8" t="s">
        <v>1782</v>
      </c>
      <c r="N267" s="8" t="s">
        <v>41</v>
      </c>
      <c r="O267" s="8" t="s">
        <v>42</v>
      </c>
      <c r="P267" s="6" t="s">
        <v>43</v>
      </c>
      <c r="Q267" s="8" t="s">
        <v>75</v>
      </c>
      <c r="R267" s="10" t="s">
        <v>1783</v>
      </c>
      <c r="S267" s="11" t="s">
        <v>1784</v>
      </c>
      <c r="T267" s="6" t="s">
        <v>59</v>
      </c>
      <c r="U267" s="27" t="str">
        <f>HYPERLINK("https://media.infra-m.ru/2059/2059575/cover/2059575.jpg", "Обложка")</f>
        <v>Обложка</v>
      </c>
      <c r="V267" s="27" t="str">
        <f>HYPERLINK("https://znanium.com/catalog/product/1853536", "Ознакомиться")</f>
        <v>Ознакомиться</v>
      </c>
      <c r="W267" s="8" t="s">
        <v>46</v>
      </c>
      <c r="X267" s="6"/>
      <c r="Y267" s="6"/>
      <c r="Z267" s="6"/>
      <c r="AA267" s="6" t="s">
        <v>106</v>
      </c>
    </row>
    <row r="268" spans="1:27" s="4" customFormat="1" ht="51.95" customHeight="1">
      <c r="A268" s="5">
        <v>0</v>
      </c>
      <c r="B268" s="6" t="s">
        <v>1785</v>
      </c>
      <c r="C268" s="7">
        <v>884</v>
      </c>
      <c r="D268" s="8" t="s">
        <v>1786</v>
      </c>
      <c r="E268" s="8" t="s">
        <v>1780</v>
      </c>
      <c r="F268" s="8" t="s">
        <v>1787</v>
      </c>
      <c r="G268" s="6" t="s">
        <v>37</v>
      </c>
      <c r="H268" s="6" t="s">
        <v>38</v>
      </c>
      <c r="I268" s="8" t="s">
        <v>132</v>
      </c>
      <c r="J268" s="9">
        <v>1</v>
      </c>
      <c r="K268" s="9">
        <v>192</v>
      </c>
      <c r="L268" s="9">
        <v>2024</v>
      </c>
      <c r="M268" s="8" t="s">
        <v>1788</v>
      </c>
      <c r="N268" s="8" t="s">
        <v>41</v>
      </c>
      <c r="O268" s="8" t="s">
        <v>42</v>
      </c>
      <c r="P268" s="6" t="s">
        <v>43</v>
      </c>
      <c r="Q268" s="8" t="s">
        <v>75</v>
      </c>
      <c r="R268" s="10" t="s">
        <v>760</v>
      </c>
      <c r="S268" s="11" t="s">
        <v>1115</v>
      </c>
      <c r="T268" s="6"/>
      <c r="U268" s="27" t="str">
        <f>HYPERLINK("https://media.infra-m.ru/2079/2079164/cover/2079164.jpg", "Обложка")</f>
        <v>Обложка</v>
      </c>
      <c r="V268" s="27" t="str">
        <f>HYPERLINK("https://znanium.com/catalog/product/2079164", "Ознакомиться")</f>
        <v>Ознакомиться</v>
      </c>
      <c r="W268" s="8" t="s">
        <v>1471</v>
      </c>
      <c r="X268" s="6"/>
      <c r="Y268" s="6"/>
      <c r="Z268" s="6"/>
      <c r="AA268" s="6" t="s">
        <v>47</v>
      </c>
    </row>
    <row r="269" spans="1:27" s="4" customFormat="1" ht="51.95" customHeight="1">
      <c r="A269" s="5">
        <v>0</v>
      </c>
      <c r="B269" s="6" t="s">
        <v>1789</v>
      </c>
      <c r="C269" s="13">
        <v>1159.9000000000001</v>
      </c>
      <c r="D269" s="8" t="s">
        <v>1790</v>
      </c>
      <c r="E269" s="8" t="s">
        <v>1791</v>
      </c>
      <c r="F269" s="8" t="s">
        <v>1792</v>
      </c>
      <c r="G269" s="6" t="s">
        <v>37</v>
      </c>
      <c r="H269" s="6" t="s">
        <v>38</v>
      </c>
      <c r="I269" s="8" t="s">
        <v>1793</v>
      </c>
      <c r="J269" s="9">
        <v>1</v>
      </c>
      <c r="K269" s="9">
        <v>306</v>
      </c>
      <c r="L269" s="9">
        <v>2022</v>
      </c>
      <c r="M269" s="8" t="s">
        <v>1794</v>
      </c>
      <c r="N269" s="8" t="s">
        <v>1795</v>
      </c>
      <c r="O269" s="8" t="s">
        <v>1796</v>
      </c>
      <c r="P269" s="6" t="s">
        <v>1797</v>
      </c>
      <c r="Q269" s="8" t="s">
        <v>1798</v>
      </c>
      <c r="R269" s="10" t="s">
        <v>1799</v>
      </c>
      <c r="S269" s="11"/>
      <c r="T269" s="6"/>
      <c r="U269" s="27" t="str">
        <f>HYPERLINK("https://media.infra-m.ru/1862/1862577/cover/1862577.jpg", "Обложка")</f>
        <v>Обложка</v>
      </c>
      <c r="V269" s="27" t="str">
        <f>HYPERLINK("https://znanium.com/catalog/product/1862577", "Ознакомиться")</f>
        <v>Ознакомиться</v>
      </c>
      <c r="W269" s="8" t="s">
        <v>1800</v>
      </c>
      <c r="X269" s="6"/>
      <c r="Y269" s="6"/>
      <c r="Z269" s="6"/>
      <c r="AA269" s="6" t="s">
        <v>204</v>
      </c>
    </row>
    <row r="270" spans="1:27" s="4" customFormat="1" ht="42" customHeight="1">
      <c r="A270" s="5">
        <v>0</v>
      </c>
      <c r="B270" s="6" t="s">
        <v>1801</v>
      </c>
      <c r="C270" s="13">
        <v>1050</v>
      </c>
      <c r="D270" s="8" t="s">
        <v>1802</v>
      </c>
      <c r="E270" s="8" t="s">
        <v>1803</v>
      </c>
      <c r="F270" s="8" t="s">
        <v>1804</v>
      </c>
      <c r="G270" s="6" t="s">
        <v>92</v>
      </c>
      <c r="H270" s="6" t="s">
        <v>209</v>
      </c>
      <c r="I270" s="8" t="s">
        <v>73</v>
      </c>
      <c r="J270" s="9">
        <v>1</v>
      </c>
      <c r="K270" s="9">
        <v>299</v>
      </c>
      <c r="L270" s="9">
        <v>2020</v>
      </c>
      <c r="M270" s="8" t="s">
        <v>1805</v>
      </c>
      <c r="N270" s="8" t="s">
        <v>41</v>
      </c>
      <c r="O270" s="8" t="s">
        <v>401</v>
      </c>
      <c r="P270" s="6" t="s">
        <v>43</v>
      </c>
      <c r="Q270" s="8" t="s">
        <v>75</v>
      </c>
      <c r="R270" s="10" t="s">
        <v>557</v>
      </c>
      <c r="S270" s="11"/>
      <c r="T270" s="6"/>
      <c r="U270" s="27" t="str">
        <f>HYPERLINK("https://media.infra-m.ru/0982/0982341/cover/982341.jpg", "Обложка")</f>
        <v>Обложка</v>
      </c>
      <c r="V270" s="27" t="str">
        <f>HYPERLINK("https://znanium.com/catalog/product/982341", "Ознакомиться")</f>
        <v>Ознакомиться</v>
      </c>
      <c r="W270" s="8" t="s">
        <v>1806</v>
      </c>
      <c r="X270" s="6"/>
      <c r="Y270" s="6"/>
      <c r="Z270" s="6"/>
      <c r="AA270" s="6" t="s">
        <v>222</v>
      </c>
    </row>
    <row r="271" spans="1:27" s="4" customFormat="1" ht="51.95" customHeight="1">
      <c r="A271" s="5">
        <v>0</v>
      </c>
      <c r="B271" s="6" t="s">
        <v>1807</v>
      </c>
      <c r="C271" s="7">
        <v>710</v>
      </c>
      <c r="D271" s="8" t="s">
        <v>1808</v>
      </c>
      <c r="E271" s="8" t="s">
        <v>1809</v>
      </c>
      <c r="F271" s="8" t="s">
        <v>1810</v>
      </c>
      <c r="G271" s="6" t="s">
        <v>119</v>
      </c>
      <c r="H271" s="6" t="s">
        <v>38</v>
      </c>
      <c r="I271" s="8" t="s">
        <v>1811</v>
      </c>
      <c r="J271" s="9">
        <v>1</v>
      </c>
      <c r="K271" s="9">
        <v>154</v>
      </c>
      <c r="L271" s="9">
        <v>2024</v>
      </c>
      <c r="M271" s="8" t="s">
        <v>1812</v>
      </c>
      <c r="N271" s="8" t="s">
        <v>41</v>
      </c>
      <c r="O271" s="8" t="s">
        <v>42</v>
      </c>
      <c r="P271" s="6" t="s">
        <v>122</v>
      </c>
      <c r="Q271" s="8" t="s">
        <v>123</v>
      </c>
      <c r="R271" s="10" t="s">
        <v>1813</v>
      </c>
      <c r="S271" s="11"/>
      <c r="T271" s="6" t="s">
        <v>59</v>
      </c>
      <c r="U271" s="27" t="str">
        <f>HYPERLINK("https://media.infra-m.ru/2052/2052442/cover/2052442.jpg", "Обложка")</f>
        <v>Обложка</v>
      </c>
      <c r="V271" s="27" t="str">
        <f>HYPERLINK("https://znanium.com/catalog/product/2052442", "Ознакомиться")</f>
        <v>Ознакомиться</v>
      </c>
      <c r="W271" s="8" t="s">
        <v>46</v>
      </c>
      <c r="X271" s="6"/>
      <c r="Y271" s="6"/>
      <c r="Z271" s="6"/>
      <c r="AA271" s="6" t="s">
        <v>126</v>
      </c>
    </row>
    <row r="272" spans="1:27" s="4" customFormat="1" ht="42" customHeight="1">
      <c r="A272" s="5">
        <v>0</v>
      </c>
      <c r="B272" s="6" t="s">
        <v>1814</v>
      </c>
      <c r="C272" s="13">
        <v>1620</v>
      </c>
      <c r="D272" s="8" t="s">
        <v>1815</v>
      </c>
      <c r="E272" s="8" t="s">
        <v>1816</v>
      </c>
      <c r="F272" s="8" t="s">
        <v>1817</v>
      </c>
      <c r="G272" s="6" t="s">
        <v>92</v>
      </c>
      <c r="H272" s="6" t="s">
        <v>93</v>
      </c>
      <c r="I272" s="8"/>
      <c r="J272" s="9">
        <v>1</v>
      </c>
      <c r="K272" s="9">
        <v>352</v>
      </c>
      <c r="L272" s="9">
        <v>2024</v>
      </c>
      <c r="M272" s="8" t="s">
        <v>1818</v>
      </c>
      <c r="N272" s="8" t="s">
        <v>41</v>
      </c>
      <c r="O272" s="8" t="s">
        <v>401</v>
      </c>
      <c r="P272" s="6" t="s">
        <v>43</v>
      </c>
      <c r="Q272" s="8" t="s">
        <v>286</v>
      </c>
      <c r="R272" s="10" t="s">
        <v>876</v>
      </c>
      <c r="S272" s="11"/>
      <c r="T272" s="6"/>
      <c r="U272" s="27" t="str">
        <f>HYPERLINK("https://media.infra-m.ru/2081/2081757/cover/2081757.jpg", "Обложка")</f>
        <v>Обложка</v>
      </c>
      <c r="V272" s="27" t="str">
        <f>HYPERLINK("https://znanium.com/catalog/product/2081757", "Ознакомиться")</f>
        <v>Ознакомиться</v>
      </c>
      <c r="W272" s="8" t="s">
        <v>125</v>
      </c>
      <c r="X272" s="6" t="s">
        <v>1726</v>
      </c>
      <c r="Y272" s="6"/>
      <c r="Z272" s="6"/>
      <c r="AA272" s="6" t="s">
        <v>435</v>
      </c>
    </row>
    <row r="273" spans="1:27" s="4" customFormat="1" ht="51.95" customHeight="1">
      <c r="A273" s="5">
        <v>0</v>
      </c>
      <c r="B273" s="6" t="s">
        <v>1819</v>
      </c>
      <c r="C273" s="13">
        <v>1274.9000000000001</v>
      </c>
      <c r="D273" s="8" t="s">
        <v>1820</v>
      </c>
      <c r="E273" s="8" t="s">
        <v>1821</v>
      </c>
      <c r="F273" s="8" t="s">
        <v>1822</v>
      </c>
      <c r="G273" s="6" t="s">
        <v>92</v>
      </c>
      <c r="H273" s="6" t="s">
        <v>93</v>
      </c>
      <c r="I273" s="8"/>
      <c r="J273" s="9">
        <v>1</v>
      </c>
      <c r="K273" s="9">
        <v>336</v>
      </c>
      <c r="L273" s="9">
        <v>2022</v>
      </c>
      <c r="M273" s="8" t="s">
        <v>1823</v>
      </c>
      <c r="N273" s="8" t="s">
        <v>41</v>
      </c>
      <c r="O273" s="8" t="s">
        <v>42</v>
      </c>
      <c r="P273" s="6" t="s">
        <v>43</v>
      </c>
      <c r="Q273" s="8" t="s">
        <v>75</v>
      </c>
      <c r="R273" s="10" t="s">
        <v>1824</v>
      </c>
      <c r="S273" s="11"/>
      <c r="T273" s="6"/>
      <c r="U273" s="27" t="str">
        <f>HYPERLINK("https://media.infra-m.ru/1852/1852191/cover/1852191.jpg", "Обложка")</f>
        <v>Обложка</v>
      </c>
      <c r="V273" s="27" t="str">
        <f>HYPERLINK("https://znanium.com/catalog/product/935547", "Ознакомиться")</f>
        <v>Ознакомиться</v>
      </c>
      <c r="W273" s="8" t="s">
        <v>1825</v>
      </c>
      <c r="X273" s="6"/>
      <c r="Y273" s="6"/>
      <c r="Z273" s="6"/>
      <c r="AA273" s="6" t="s">
        <v>213</v>
      </c>
    </row>
    <row r="274" spans="1:27" s="4" customFormat="1" ht="51.95" customHeight="1">
      <c r="A274" s="5">
        <v>0</v>
      </c>
      <c r="B274" s="6" t="s">
        <v>1826</v>
      </c>
      <c r="C274" s="7">
        <v>634.9</v>
      </c>
      <c r="D274" s="8" t="s">
        <v>1827</v>
      </c>
      <c r="E274" s="8" t="s">
        <v>1828</v>
      </c>
      <c r="F274" s="8" t="s">
        <v>1279</v>
      </c>
      <c r="G274" s="6" t="s">
        <v>119</v>
      </c>
      <c r="H274" s="6" t="s">
        <v>161</v>
      </c>
      <c r="I274" s="8" t="s">
        <v>132</v>
      </c>
      <c r="J274" s="9">
        <v>1</v>
      </c>
      <c r="K274" s="9">
        <v>168</v>
      </c>
      <c r="L274" s="9">
        <v>2022</v>
      </c>
      <c r="M274" s="8" t="s">
        <v>1829</v>
      </c>
      <c r="N274" s="8" t="s">
        <v>41</v>
      </c>
      <c r="O274" s="8" t="s">
        <v>401</v>
      </c>
      <c r="P274" s="6" t="s">
        <v>43</v>
      </c>
      <c r="Q274" s="8" t="s">
        <v>75</v>
      </c>
      <c r="R274" s="10" t="s">
        <v>634</v>
      </c>
      <c r="S274" s="11" t="s">
        <v>1830</v>
      </c>
      <c r="T274" s="6"/>
      <c r="U274" s="27" t="str">
        <f>HYPERLINK("https://media.infra-m.ru/1855/1855505/cover/1855505.jpg", "Обложка")</f>
        <v>Обложка</v>
      </c>
      <c r="V274" s="27" t="str">
        <f>HYPERLINK("https://znanium.com/catalog/product/991953", "Ознакомиться")</f>
        <v>Ознакомиться</v>
      </c>
      <c r="W274" s="8" t="s">
        <v>125</v>
      </c>
      <c r="X274" s="6"/>
      <c r="Y274" s="6"/>
      <c r="Z274" s="6"/>
      <c r="AA274" s="6" t="s">
        <v>1138</v>
      </c>
    </row>
    <row r="275" spans="1:27" s="4" customFormat="1" ht="51.95" customHeight="1">
      <c r="A275" s="5">
        <v>0</v>
      </c>
      <c r="B275" s="6" t="s">
        <v>1831</v>
      </c>
      <c r="C275" s="7">
        <v>714.9</v>
      </c>
      <c r="D275" s="8" t="s">
        <v>1832</v>
      </c>
      <c r="E275" s="8" t="s">
        <v>1833</v>
      </c>
      <c r="F275" s="8" t="s">
        <v>1076</v>
      </c>
      <c r="G275" s="6" t="s">
        <v>119</v>
      </c>
      <c r="H275" s="6" t="s">
        <v>38</v>
      </c>
      <c r="I275" s="8" t="s">
        <v>120</v>
      </c>
      <c r="J275" s="9">
        <v>1</v>
      </c>
      <c r="K275" s="9">
        <v>224</v>
      </c>
      <c r="L275" s="9">
        <v>2018</v>
      </c>
      <c r="M275" s="8" t="s">
        <v>1834</v>
      </c>
      <c r="N275" s="8" t="s">
        <v>41</v>
      </c>
      <c r="O275" s="8" t="s">
        <v>42</v>
      </c>
      <c r="P275" s="6" t="s">
        <v>122</v>
      </c>
      <c r="Q275" s="8" t="s">
        <v>123</v>
      </c>
      <c r="R275" s="10" t="s">
        <v>1835</v>
      </c>
      <c r="S275" s="11"/>
      <c r="T275" s="6"/>
      <c r="U275" s="27" t="str">
        <f>HYPERLINK("https://media.infra-m.ru/0959/0959943/cover/959943.jpg", "Обложка")</f>
        <v>Обложка</v>
      </c>
      <c r="V275" s="27" t="str">
        <f>HYPERLINK("https://znanium.com/catalog/product/959943", "Ознакомиться")</f>
        <v>Ознакомиться</v>
      </c>
      <c r="W275" s="8" t="s">
        <v>329</v>
      </c>
      <c r="X275" s="6"/>
      <c r="Y275" s="6"/>
      <c r="Z275" s="6"/>
      <c r="AA275" s="6" t="s">
        <v>150</v>
      </c>
    </row>
    <row r="276" spans="1:27" s="4" customFormat="1" ht="51.95" customHeight="1">
      <c r="A276" s="5">
        <v>0</v>
      </c>
      <c r="B276" s="6" t="s">
        <v>1836</v>
      </c>
      <c r="C276" s="7">
        <v>814</v>
      </c>
      <c r="D276" s="8" t="s">
        <v>1837</v>
      </c>
      <c r="E276" s="8" t="s">
        <v>1838</v>
      </c>
      <c r="F276" s="8" t="s">
        <v>1508</v>
      </c>
      <c r="G276" s="6" t="s">
        <v>119</v>
      </c>
      <c r="H276" s="6" t="s">
        <v>161</v>
      </c>
      <c r="I276" s="8" t="s">
        <v>257</v>
      </c>
      <c r="J276" s="9">
        <v>1</v>
      </c>
      <c r="K276" s="9">
        <v>176</v>
      </c>
      <c r="L276" s="9">
        <v>2023</v>
      </c>
      <c r="M276" s="8" t="s">
        <v>1839</v>
      </c>
      <c r="N276" s="8" t="s">
        <v>41</v>
      </c>
      <c r="O276" s="8" t="s">
        <v>42</v>
      </c>
      <c r="P276" s="6" t="s">
        <v>43</v>
      </c>
      <c r="Q276" s="8" t="s">
        <v>56</v>
      </c>
      <c r="R276" s="10" t="s">
        <v>1840</v>
      </c>
      <c r="S276" s="11" t="s">
        <v>1841</v>
      </c>
      <c r="T276" s="6"/>
      <c r="U276" s="27" t="str">
        <f>HYPERLINK("https://media.infra-m.ru/1986/1986563/cover/1986563.jpg", "Обложка")</f>
        <v>Обложка</v>
      </c>
      <c r="V276" s="27" t="str">
        <f>HYPERLINK("https://znanium.com/catalog/product/1815943", "Ознакомиться")</f>
        <v>Ознакомиться</v>
      </c>
      <c r="W276" s="8" t="s">
        <v>1425</v>
      </c>
      <c r="X276" s="6"/>
      <c r="Y276" s="6" t="s">
        <v>30</v>
      </c>
      <c r="Z276" s="6"/>
      <c r="AA276" s="6" t="s">
        <v>339</v>
      </c>
    </row>
    <row r="277" spans="1:27" s="4" customFormat="1" ht="51.95" customHeight="1">
      <c r="A277" s="5">
        <v>0</v>
      </c>
      <c r="B277" s="6" t="s">
        <v>1842</v>
      </c>
      <c r="C277" s="13">
        <v>1770</v>
      </c>
      <c r="D277" s="8" t="s">
        <v>1843</v>
      </c>
      <c r="E277" s="8" t="s">
        <v>1844</v>
      </c>
      <c r="F277" s="8" t="s">
        <v>1845</v>
      </c>
      <c r="G277" s="6" t="s">
        <v>37</v>
      </c>
      <c r="H277" s="6" t="s">
        <v>38</v>
      </c>
      <c r="I277" s="8" t="s">
        <v>132</v>
      </c>
      <c r="J277" s="9">
        <v>1</v>
      </c>
      <c r="K277" s="9">
        <v>384</v>
      </c>
      <c r="L277" s="9">
        <v>2024</v>
      </c>
      <c r="M277" s="8" t="s">
        <v>1846</v>
      </c>
      <c r="N277" s="8" t="s">
        <v>41</v>
      </c>
      <c r="O277" s="8" t="s">
        <v>42</v>
      </c>
      <c r="P277" s="6" t="s">
        <v>55</v>
      </c>
      <c r="Q277" s="8" t="s">
        <v>75</v>
      </c>
      <c r="R277" s="10" t="s">
        <v>1847</v>
      </c>
      <c r="S277" s="11" t="s">
        <v>1848</v>
      </c>
      <c r="T277" s="6" t="s">
        <v>59</v>
      </c>
      <c r="U277" s="27" t="str">
        <f>HYPERLINK("https://media.infra-m.ru/2084/2084148/cover/2084148.jpg", "Обложка")</f>
        <v>Обложка</v>
      </c>
      <c r="V277" s="27" t="str">
        <f>HYPERLINK("https://znanium.com/catalog/product/2084148", "Ознакомиться")</f>
        <v>Ознакомиться</v>
      </c>
      <c r="W277" s="8" t="s">
        <v>149</v>
      </c>
      <c r="X277" s="6"/>
      <c r="Y277" s="6" t="s">
        <v>30</v>
      </c>
      <c r="Z277" s="6"/>
      <c r="AA277" s="6" t="s">
        <v>98</v>
      </c>
    </row>
    <row r="278" spans="1:27" s="4" customFormat="1" ht="44.1" customHeight="1">
      <c r="A278" s="5">
        <v>0</v>
      </c>
      <c r="B278" s="6" t="s">
        <v>1849</v>
      </c>
      <c r="C278" s="13">
        <v>1920</v>
      </c>
      <c r="D278" s="8" t="s">
        <v>1850</v>
      </c>
      <c r="E278" s="8" t="s">
        <v>1844</v>
      </c>
      <c r="F278" s="8" t="s">
        <v>1851</v>
      </c>
      <c r="G278" s="6" t="s">
        <v>92</v>
      </c>
      <c r="H278" s="6" t="s">
        <v>38</v>
      </c>
      <c r="I278" s="8" t="s">
        <v>132</v>
      </c>
      <c r="J278" s="9">
        <v>1</v>
      </c>
      <c r="K278" s="9">
        <v>413</v>
      </c>
      <c r="L278" s="9">
        <v>2023</v>
      </c>
      <c r="M278" s="8" t="s">
        <v>1852</v>
      </c>
      <c r="N278" s="8" t="s">
        <v>41</v>
      </c>
      <c r="O278" s="8" t="s">
        <v>42</v>
      </c>
      <c r="P278" s="6" t="s">
        <v>55</v>
      </c>
      <c r="Q278" s="8" t="s">
        <v>75</v>
      </c>
      <c r="R278" s="10" t="s">
        <v>1853</v>
      </c>
      <c r="S278" s="11"/>
      <c r="T278" s="6"/>
      <c r="U278" s="27" t="str">
        <f>HYPERLINK("https://media.infra-m.ru/1852/1852443/cover/1852443.jpg", "Обложка")</f>
        <v>Обложка</v>
      </c>
      <c r="V278" s="27" t="str">
        <f>HYPERLINK("https://znanium.com/catalog/product/1852443", "Ознакомиться")</f>
        <v>Ознакомиться</v>
      </c>
      <c r="W278" s="8" t="s">
        <v>496</v>
      </c>
      <c r="X278" s="6" t="s">
        <v>1854</v>
      </c>
      <c r="Y278" s="6"/>
      <c r="Z278" s="6"/>
      <c r="AA278" s="6" t="s">
        <v>461</v>
      </c>
    </row>
    <row r="279" spans="1:27" s="4" customFormat="1" ht="51.95" customHeight="1">
      <c r="A279" s="5">
        <v>0</v>
      </c>
      <c r="B279" s="6" t="s">
        <v>1855</v>
      </c>
      <c r="C279" s="7">
        <v>944</v>
      </c>
      <c r="D279" s="8" t="s">
        <v>1856</v>
      </c>
      <c r="E279" s="8" t="s">
        <v>1857</v>
      </c>
      <c r="F279" s="8" t="s">
        <v>1858</v>
      </c>
      <c r="G279" s="6" t="s">
        <v>119</v>
      </c>
      <c r="H279" s="6" t="s">
        <v>209</v>
      </c>
      <c r="I279" s="8" t="s">
        <v>120</v>
      </c>
      <c r="J279" s="9">
        <v>1</v>
      </c>
      <c r="K279" s="9">
        <v>244</v>
      </c>
      <c r="L279" s="9">
        <v>2020</v>
      </c>
      <c r="M279" s="8" t="s">
        <v>1859</v>
      </c>
      <c r="N279" s="8" t="s">
        <v>41</v>
      </c>
      <c r="O279" s="8" t="s">
        <v>42</v>
      </c>
      <c r="P279" s="6" t="s">
        <v>122</v>
      </c>
      <c r="Q279" s="8" t="s">
        <v>123</v>
      </c>
      <c r="R279" s="10" t="s">
        <v>1860</v>
      </c>
      <c r="S279" s="11"/>
      <c r="T279" s="6"/>
      <c r="U279" s="27" t="str">
        <f>HYPERLINK("https://media.infra-m.ru/2117/2117162/cover/2117162.jpg", "Обложка")</f>
        <v>Обложка</v>
      </c>
      <c r="V279" s="27" t="str">
        <f>HYPERLINK("https://znanium.com/catalog/product/1015160", "Ознакомиться")</f>
        <v>Ознакомиться</v>
      </c>
      <c r="W279" s="8" t="s">
        <v>1861</v>
      </c>
      <c r="X279" s="6"/>
      <c r="Y279" s="6"/>
      <c r="Z279" s="6"/>
      <c r="AA279" s="6" t="s">
        <v>106</v>
      </c>
    </row>
    <row r="280" spans="1:27" s="4" customFormat="1" ht="51.95" customHeight="1">
      <c r="A280" s="5">
        <v>0</v>
      </c>
      <c r="B280" s="6" t="s">
        <v>1862</v>
      </c>
      <c r="C280" s="13">
        <v>1544</v>
      </c>
      <c r="D280" s="8" t="s">
        <v>1863</v>
      </c>
      <c r="E280" s="8" t="s">
        <v>1864</v>
      </c>
      <c r="F280" s="8" t="s">
        <v>1865</v>
      </c>
      <c r="G280" s="6" t="s">
        <v>37</v>
      </c>
      <c r="H280" s="6" t="s">
        <v>38</v>
      </c>
      <c r="I280" s="8" t="s">
        <v>73</v>
      </c>
      <c r="J280" s="9">
        <v>1</v>
      </c>
      <c r="K280" s="9">
        <v>336</v>
      </c>
      <c r="L280" s="9">
        <v>2024</v>
      </c>
      <c r="M280" s="8" t="s">
        <v>1866</v>
      </c>
      <c r="N280" s="8" t="s">
        <v>41</v>
      </c>
      <c r="O280" s="8" t="s">
        <v>42</v>
      </c>
      <c r="P280" s="6" t="s">
        <v>43</v>
      </c>
      <c r="Q280" s="8" t="s">
        <v>75</v>
      </c>
      <c r="R280" s="10" t="s">
        <v>1867</v>
      </c>
      <c r="S280" s="11" t="s">
        <v>1868</v>
      </c>
      <c r="T280" s="6"/>
      <c r="U280" s="27" t="str">
        <f>HYPERLINK("https://media.infra-m.ru/2103/2103743/cover/2103743.jpg", "Обложка")</f>
        <v>Обложка</v>
      </c>
      <c r="V280" s="27" t="str">
        <f>HYPERLINK("https://znanium.com/catalog/product/1949123", "Ознакомиться")</f>
        <v>Ознакомиться</v>
      </c>
      <c r="W280" s="8" t="s">
        <v>1869</v>
      </c>
      <c r="X280" s="6"/>
      <c r="Y280" s="6"/>
      <c r="Z280" s="6"/>
      <c r="AA280" s="6" t="s">
        <v>150</v>
      </c>
    </row>
    <row r="281" spans="1:27" s="4" customFormat="1" ht="51.95" customHeight="1">
      <c r="A281" s="5">
        <v>0</v>
      </c>
      <c r="B281" s="6" t="s">
        <v>1870</v>
      </c>
      <c r="C281" s="7">
        <v>884.9</v>
      </c>
      <c r="D281" s="8" t="s">
        <v>1871</v>
      </c>
      <c r="E281" s="8" t="s">
        <v>1872</v>
      </c>
      <c r="F281" s="8" t="s">
        <v>1873</v>
      </c>
      <c r="G281" s="6" t="s">
        <v>119</v>
      </c>
      <c r="H281" s="6" t="s">
        <v>209</v>
      </c>
      <c r="I281" s="8" t="s">
        <v>210</v>
      </c>
      <c r="J281" s="9">
        <v>1</v>
      </c>
      <c r="K281" s="9">
        <v>250</v>
      </c>
      <c r="L281" s="9">
        <v>2020</v>
      </c>
      <c r="M281" s="8" t="s">
        <v>1874</v>
      </c>
      <c r="N281" s="8" t="s">
        <v>41</v>
      </c>
      <c r="O281" s="8" t="s">
        <v>42</v>
      </c>
      <c r="P281" s="6" t="s">
        <v>122</v>
      </c>
      <c r="Q281" s="8" t="s">
        <v>123</v>
      </c>
      <c r="R281" s="10" t="s">
        <v>1875</v>
      </c>
      <c r="S281" s="11"/>
      <c r="T281" s="6"/>
      <c r="U281" s="27" t="str">
        <f>HYPERLINK("https://media.infra-m.ru/1081/1081009/cover/1081009.jpg", "Обложка")</f>
        <v>Обложка</v>
      </c>
      <c r="V281" s="27" t="str">
        <f>HYPERLINK("https://znanium.com/catalog/product/1081009", "Ознакомиться")</f>
        <v>Ознакомиться</v>
      </c>
      <c r="W281" s="8"/>
      <c r="X281" s="6"/>
      <c r="Y281" s="6"/>
      <c r="Z281" s="6"/>
      <c r="AA281" s="6" t="s">
        <v>114</v>
      </c>
    </row>
    <row r="282" spans="1:27" s="4" customFormat="1" ht="44.1" customHeight="1">
      <c r="A282" s="5">
        <v>0</v>
      </c>
      <c r="B282" s="6" t="s">
        <v>1876</v>
      </c>
      <c r="C282" s="13">
        <v>1154</v>
      </c>
      <c r="D282" s="8" t="s">
        <v>1877</v>
      </c>
      <c r="E282" s="8" t="s">
        <v>1878</v>
      </c>
      <c r="F282" s="8" t="s">
        <v>1879</v>
      </c>
      <c r="G282" s="6" t="s">
        <v>119</v>
      </c>
      <c r="H282" s="6" t="s">
        <v>38</v>
      </c>
      <c r="I282" s="8" t="s">
        <v>120</v>
      </c>
      <c r="J282" s="9">
        <v>1</v>
      </c>
      <c r="K282" s="9">
        <v>326</v>
      </c>
      <c r="L282" s="9">
        <v>2020</v>
      </c>
      <c r="M282" s="8" t="s">
        <v>1880</v>
      </c>
      <c r="N282" s="8" t="s">
        <v>41</v>
      </c>
      <c r="O282" s="8" t="s">
        <v>502</v>
      </c>
      <c r="P282" s="6" t="s">
        <v>122</v>
      </c>
      <c r="Q282" s="8" t="s">
        <v>123</v>
      </c>
      <c r="R282" s="10" t="s">
        <v>1881</v>
      </c>
      <c r="S282" s="11"/>
      <c r="T282" s="6" t="s">
        <v>59</v>
      </c>
      <c r="U282" s="27" t="str">
        <f>HYPERLINK("https://media.infra-m.ru/2081/2081957/cover/2081957.jpg", "Обложка")</f>
        <v>Обложка</v>
      </c>
      <c r="V282" s="27" t="str">
        <f>HYPERLINK("https://znanium.com/catalog/product/1842508", "Ознакомиться")</f>
        <v>Ознакомиться</v>
      </c>
      <c r="W282" s="8" t="s">
        <v>1882</v>
      </c>
      <c r="X282" s="6"/>
      <c r="Y282" s="6"/>
      <c r="Z282" s="6"/>
      <c r="AA282" s="6" t="s">
        <v>382</v>
      </c>
    </row>
    <row r="283" spans="1:27" s="4" customFormat="1" ht="51.95" customHeight="1">
      <c r="A283" s="5">
        <v>0</v>
      </c>
      <c r="B283" s="6" t="s">
        <v>1883</v>
      </c>
      <c r="C283" s="13">
        <v>1400</v>
      </c>
      <c r="D283" s="8" t="s">
        <v>1884</v>
      </c>
      <c r="E283" s="8" t="s">
        <v>1885</v>
      </c>
      <c r="F283" s="8" t="s">
        <v>1886</v>
      </c>
      <c r="G283" s="6" t="s">
        <v>37</v>
      </c>
      <c r="H283" s="6" t="s">
        <v>131</v>
      </c>
      <c r="I283" s="8" t="s">
        <v>53</v>
      </c>
      <c r="J283" s="9">
        <v>1</v>
      </c>
      <c r="K283" s="9">
        <v>304</v>
      </c>
      <c r="L283" s="9">
        <v>2024</v>
      </c>
      <c r="M283" s="8" t="s">
        <v>1887</v>
      </c>
      <c r="N283" s="8" t="s">
        <v>41</v>
      </c>
      <c r="O283" s="8" t="s">
        <v>42</v>
      </c>
      <c r="P283" s="6" t="s">
        <v>43</v>
      </c>
      <c r="Q283" s="8" t="s">
        <v>56</v>
      </c>
      <c r="R283" s="10" t="s">
        <v>1888</v>
      </c>
      <c r="S283" s="11" t="s">
        <v>281</v>
      </c>
      <c r="T283" s="6"/>
      <c r="U283" s="27" t="str">
        <f>HYPERLINK("https://media.infra-m.ru/2082/2082174/cover/2082174.jpg", "Обложка")</f>
        <v>Обложка</v>
      </c>
      <c r="V283" s="27" t="str">
        <f>HYPERLINK("https://znanium.com/catalog/product/2082174", "Ознакомиться")</f>
        <v>Ознакомиться</v>
      </c>
      <c r="W283" s="8" t="s">
        <v>149</v>
      </c>
      <c r="X283" s="6"/>
      <c r="Y283" s="6"/>
      <c r="Z283" s="6"/>
      <c r="AA283" s="6" t="s">
        <v>339</v>
      </c>
    </row>
    <row r="284" spans="1:27" s="4" customFormat="1" ht="51.95" customHeight="1">
      <c r="A284" s="5">
        <v>0</v>
      </c>
      <c r="B284" s="6" t="s">
        <v>1889</v>
      </c>
      <c r="C284" s="7">
        <v>494.9</v>
      </c>
      <c r="D284" s="8" t="s">
        <v>1890</v>
      </c>
      <c r="E284" s="8" t="s">
        <v>1891</v>
      </c>
      <c r="F284" s="8" t="s">
        <v>1892</v>
      </c>
      <c r="G284" s="6" t="s">
        <v>92</v>
      </c>
      <c r="H284" s="6" t="s">
        <v>209</v>
      </c>
      <c r="I284" s="8" t="s">
        <v>286</v>
      </c>
      <c r="J284" s="9">
        <v>1</v>
      </c>
      <c r="K284" s="9">
        <v>111</v>
      </c>
      <c r="L284" s="9">
        <v>2023</v>
      </c>
      <c r="M284" s="8" t="s">
        <v>1893</v>
      </c>
      <c r="N284" s="8" t="s">
        <v>41</v>
      </c>
      <c r="O284" s="8" t="s">
        <v>42</v>
      </c>
      <c r="P284" s="6" t="s">
        <v>43</v>
      </c>
      <c r="Q284" s="8" t="s">
        <v>56</v>
      </c>
      <c r="R284" s="10" t="s">
        <v>1894</v>
      </c>
      <c r="S284" s="11" t="s">
        <v>1895</v>
      </c>
      <c r="T284" s="6"/>
      <c r="U284" s="27" t="str">
        <f>HYPERLINK("https://media.infra-m.ru/1911/1911177/cover/1911177.jpg", "Обложка")</f>
        <v>Обложка</v>
      </c>
      <c r="V284" s="27" t="str">
        <f>HYPERLINK("https://znanium.com/catalog/product/1229811", "Ознакомиться")</f>
        <v>Ознакомиться</v>
      </c>
      <c r="W284" s="8" t="s">
        <v>1896</v>
      </c>
      <c r="X284" s="6"/>
      <c r="Y284" s="6"/>
      <c r="Z284" s="6"/>
      <c r="AA284" s="6" t="s">
        <v>213</v>
      </c>
    </row>
    <row r="285" spans="1:27" s="4" customFormat="1" ht="51.95" customHeight="1">
      <c r="A285" s="5">
        <v>0</v>
      </c>
      <c r="B285" s="6" t="s">
        <v>1897</v>
      </c>
      <c r="C285" s="13">
        <v>1024</v>
      </c>
      <c r="D285" s="8" t="s">
        <v>1898</v>
      </c>
      <c r="E285" s="8" t="s">
        <v>1899</v>
      </c>
      <c r="F285" s="8" t="s">
        <v>1900</v>
      </c>
      <c r="G285" s="6" t="s">
        <v>92</v>
      </c>
      <c r="H285" s="6" t="s">
        <v>38</v>
      </c>
      <c r="I285" s="8" t="s">
        <v>53</v>
      </c>
      <c r="J285" s="9">
        <v>1</v>
      </c>
      <c r="K285" s="9">
        <v>320</v>
      </c>
      <c r="L285" s="9">
        <v>2019</v>
      </c>
      <c r="M285" s="8" t="s">
        <v>1901</v>
      </c>
      <c r="N285" s="8" t="s">
        <v>41</v>
      </c>
      <c r="O285" s="8" t="s">
        <v>42</v>
      </c>
      <c r="P285" s="6" t="s">
        <v>55</v>
      </c>
      <c r="Q285" s="8" t="s">
        <v>56</v>
      </c>
      <c r="R285" s="10" t="s">
        <v>1902</v>
      </c>
      <c r="S285" s="11" t="s">
        <v>1903</v>
      </c>
      <c r="T285" s="6"/>
      <c r="U285" s="27" t="str">
        <f>HYPERLINK("https://media.infra-m.ru/2081/2081982/cover/2081982.jpg", "Обложка")</f>
        <v>Обложка</v>
      </c>
      <c r="V285" s="27" t="str">
        <f>HYPERLINK("https://znanium.com/catalog/product/2059563", "Ознакомиться")</f>
        <v>Ознакомиться</v>
      </c>
      <c r="W285" s="8" t="s">
        <v>1904</v>
      </c>
      <c r="X285" s="6"/>
      <c r="Y285" s="6" t="s">
        <v>30</v>
      </c>
      <c r="Z285" s="6" t="s">
        <v>60</v>
      </c>
      <c r="AA285" s="6" t="s">
        <v>1276</v>
      </c>
    </row>
    <row r="286" spans="1:27" s="4" customFormat="1" ht="51.95" customHeight="1">
      <c r="A286" s="5">
        <v>0</v>
      </c>
      <c r="B286" s="6" t="s">
        <v>1905</v>
      </c>
      <c r="C286" s="13">
        <v>1440</v>
      </c>
      <c r="D286" s="8" t="s">
        <v>1906</v>
      </c>
      <c r="E286" s="8" t="s">
        <v>1899</v>
      </c>
      <c r="F286" s="8" t="s">
        <v>1900</v>
      </c>
      <c r="G286" s="6" t="s">
        <v>37</v>
      </c>
      <c r="H286" s="6" t="s">
        <v>38</v>
      </c>
      <c r="I286" s="8" t="s">
        <v>73</v>
      </c>
      <c r="J286" s="9">
        <v>1</v>
      </c>
      <c r="K286" s="9">
        <v>320</v>
      </c>
      <c r="L286" s="9">
        <v>2023</v>
      </c>
      <c r="M286" s="8" t="s">
        <v>1907</v>
      </c>
      <c r="N286" s="8" t="s">
        <v>41</v>
      </c>
      <c r="O286" s="8" t="s">
        <v>42</v>
      </c>
      <c r="P286" s="6" t="s">
        <v>55</v>
      </c>
      <c r="Q286" s="8" t="s">
        <v>75</v>
      </c>
      <c r="R286" s="10" t="s">
        <v>1908</v>
      </c>
      <c r="S286" s="11" t="s">
        <v>1909</v>
      </c>
      <c r="T286" s="6"/>
      <c r="U286" s="27" t="str">
        <f>HYPERLINK("https://media.infra-m.ru/1970/1970290/cover/1970290.jpg", "Обложка")</f>
        <v>Обложка</v>
      </c>
      <c r="V286" s="27" t="str">
        <f>HYPERLINK("https://znanium.com/catalog/product/1970290", "Ознакомиться")</f>
        <v>Ознакомиться</v>
      </c>
      <c r="W286" s="8" t="s">
        <v>1904</v>
      </c>
      <c r="X286" s="6"/>
      <c r="Y286" s="6"/>
      <c r="Z286" s="6"/>
      <c r="AA286" s="6" t="s">
        <v>1910</v>
      </c>
    </row>
    <row r="287" spans="1:27" s="4" customFormat="1" ht="51.95" customHeight="1">
      <c r="A287" s="5">
        <v>0</v>
      </c>
      <c r="B287" s="6" t="s">
        <v>1911</v>
      </c>
      <c r="C287" s="7">
        <v>984.9</v>
      </c>
      <c r="D287" s="8" t="s">
        <v>1912</v>
      </c>
      <c r="E287" s="8" t="s">
        <v>1913</v>
      </c>
      <c r="F287" s="8" t="s">
        <v>310</v>
      </c>
      <c r="G287" s="6" t="s">
        <v>92</v>
      </c>
      <c r="H287" s="6" t="s">
        <v>209</v>
      </c>
      <c r="I287" s="8" t="s">
        <v>73</v>
      </c>
      <c r="J287" s="9">
        <v>1</v>
      </c>
      <c r="K287" s="9">
        <v>218</v>
      </c>
      <c r="L287" s="9">
        <v>2022</v>
      </c>
      <c r="M287" s="8" t="s">
        <v>1914</v>
      </c>
      <c r="N287" s="8" t="s">
        <v>41</v>
      </c>
      <c r="O287" s="8" t="s">
        <v>42</v>
      </c>
      <c r="P287" s="6" t="s">
        <v>43</v>
      </c>
      <c r="Q287" s="8" t="s">
        <v>75</v>
      </c>
      <c r="R287" s="10" t="s">
        <v>608</v>
      </c>
      <c r="S287" s="11" t="s">
        <v>1915</v>
      </c>
      <c r="T287" s="6"/>
      <c r="U287" s="27" t="str">
        <f>HYPERLINK("https://media.infra-m.ru/1843/1843580/cover/1843580.jpg", "Обложка")</f>
        <v>Обложка</v>
      </c>
      <c r="V287" s="27" t="str">
        <f>HYPERLINK("https://znanium.com/catalog/product/1079867", "Ознакомиться")</f>
        <v>Ознакомиться</v>
      </c>
      <c r="W287" s="8" t="s">
        <v>314</v>
      </c>
      <c r="X287" s="6"/>
      <c r="Y287" s="6"/>
      <c r="Z287" s="6"/>
      <c r="AA287" s="6" t="s">
        <v>150</v>
      </c>
    </row>
    <row r="288" spans="1:27" s="4" customFormat="1" ht="51.95" customHeight="1">
      <c r="A288" s="5">
        <v>0</v>
      </c>
      <c r="B288" s="6" t="s">
        <v>1916</v>
      </c>
      <c r="C288" s="7">
        <v>630</v>
      </c>
      <c r="D288" s="8" t="s">
        <v>1917</v>
      </c>
      <c r="E288" s="8" t="s">
        <v>1918</v>
      </c>
      <c r="F288" s="8" t="s">
        <v>1919</v>
      </c>
      <c r="G288" s="6" t="s">
        <v>119</v>
      </c>
      <c r="H288" s="6" t="s">
        <v>38</v>
      </c>
      <c r="I288" s="8" t="s">
        <v>120</v>
      </c>
      <c r="J288" s="9">
        <v>1</v>
      </c>
      <c r="K288" s="9">
        <v>139</v>
      </c>
      <c r="L288" s="9">
        <v>2019</v>
      </c>
      <c r="M288" s="8" t="s">
        <v>1920</v>
      </c>
      <c r="N288" s="8" t="s">
        <v>41</v>
      </c>
      <c r="O288" s="8" t="s">
        <v>42</v>
      </c>
      <c r="P288" s="6" t="s">
        <v>122</v>
      </c>
      <c r="Q288" s="8" t="s">
        <v>123</v>
      </c>
      <c r="R288" s="10" t="s">
        <v>1921</v>
      </c>
      <c r="S288" s="11"/>
      <c r="T288" s="6"/>
      <c r="U288" s="27" t="str">
        <f>HYPERLINK("https://media.infra-m.ru/1031/1031271/cover/1031271.jpg", "Обложка")</f>
        <v>Обложка</v>
      </c>
      <c r="V288" s="27" t="str">
        <f>HYPERLINK("https://znanium.com/catalog/product/1031271", "Ознакомиться")</f>
        <v>Ознакомиться</v>
      </c>
      <c r="W288" s="8" t="s">
        <v>314</v>
      </c>
      <c r="X288" s="6"/>
      <c r="Y288" s="6"/>
      <c r="Z288" s="6"/>
      <c r="AA288" s="6" t="s">
        <v>222</v>
      </c>
    </row>
    <row r="289" spans="1:27" s="4" customFormat="1" ht="42" customHeight="1">
      <c r="A289" s="5">
        <v>0</v>
      </c>
      <c r="B289" s="6" t="s">
        <v>1922</v>
      </c>
      <c r="C289" s="7">
        <v>850</v>
      </c>
      <c r="D289" s="8" t="s">
        <v>1923</v>
      </c>
      <c r="E289" s="8" t="s">
        <v>1924</v>
      </c>
      <c r="F289" s="8" t="s">
        <v>1925</v>
      </c>
      <c r="G289" s="6" t="s">
        <v>119</v>
      </c>
      <c r="H289" s="6" t="s">
        <v>38</v>
      </c>
      <c r="I289" s="8" t="s">
        <v>120</v>
      </c>
      <c r="J289" s="9">
        <v>1</v>
      </c>
      <c r="K289" s="9">
        <v>172</v>
      </c>
      <c r="L289" s="9">
        <v>2023</v>
      </c>
      <c r="M289" s="8" t="s">
        <v>1926</v>
      </c>
      <c r="N289" s="8" t="s">
        <v>41</v>
      </c>
      <c r="O289" s="8" t="s">
        <v>42</v>
      </c>
      <c r="P289" s="6" t="s">
        <v>122</v>
      </c>
      <c r="Q289" s="8" t="s">
        <v>123</v>
      </c>
      <c r="R289" s="10" t="s">
        <v>676</v>
      </c>
      <c r="S289" s="11"/>
      <c r="T289" s="6"/>
      <c r="U289" s="27" t="str">
        <f>HYPERLINK("https://media.infra-m.ru/1977/1977989/cover/1977989.jpg", "Обложка")</f>
        <v>Обложка</v>
      </c>
      <c r="V289" s="27" t="str">
        <f>HYPERLINK("https://znanium.com/catalog/product/1977989", "Ознакомиться")</f>
        <v>Ознакомиться</v>
      </c>
      <c r="W289" s="8" t="s">
        <v>1927</v>
      </c>
      <c r="X289" s="6" t="s">
        <v>1928</v>
      </c>
      <c r="Y289" s="6"/>
      <c r="Z289" s="6"/>
      <c r="AA289" s="6" t="s">
        <v>461</v>
      </c>
    </row>
    <row r="290" spans="1:27" s="4" customFormat="1" ht="51.95" customHeight="1">
      <c r="A290" s="5">
        <v>0</v>
      </c>
      <c r="B290" s="6" t="s">
        <v>1929</v>
      </c>
      <c r="C290" s="7">
        <v>820</v>
      </c>
      <c r="D290" s="8" t="s">
        <v>1930</v>
      </c>
      <c r="E290" s="8" t="s">
        <v>1931</v>
      </c>
      <c r="F290" s="8" t="s">
        <v>1932</v>
      </c>
      <c r="G290" s="6" t="s">
        <v>37</v>
      </c>
      <c r="H290" s="6" t="s">
        <v>38</v>
      </c>
      <c r="I290" s="8" t="s">
        <v>73</v>
      </c>
      <c r="J290" s="9">
        <v>1</v>
      </c>
      <c r="K290" s="9">
        <v>215</v>
      </c>
      <c r="L290" s="9">
        <v>2022</v>
      </c>
      <c r="M290" s="8" t="s">
        <v>1933</v>
      </c>
      <c r="N290" s="8" t="s">
        <v>41</v>
      </c>
      <c r="O290" s="8" t="s">
        <v>42</v>
      </c>
      <c r="P290" s="6" t="s">
        <v>43</v>
      </c>
      <c r="Q290" s="8" t="s">
        <v>75</v>
      </c>
      <c r="R290" s="10" t="s">
        <v>1934</v>
      </c>
      <c r="S290" s="11" t="s">
        <v>1935</v>
      </c>
      <c r="T290" s="6" t="s">
        <v>59</v>
      </c>
      <c r="U290" s="27" t="str">
        <f>HYPERLINK("https://media.infra-m.ru/1843/1843577/cover/1843577.jpg", "Обложка")</f>
        <v>Обложка</v>
      </c>
      <c r="V290" s="27" t="str">
        <f>HYPERLINK("https://znanium.com/catalog/product/1843577", "Ознакомиться")</f>
        <v>Ознакомиться</v>
      </c>
      <c r="W290" s="8" t="s">
        <v>642</v>
      </c>
      <c r="X290" s="6"/>
      <c r="Y290" s="6"/>
      <c r="Z290" s="6"/>
      <c r="AA290" s="6" t="s">
        <v>78</v>
      </c>
    </row>
    <row r="291" spans="1:27" s="4" customFormat="1" ht="51.95" customHeight="1">
      <c r="A291" s="5">
        <v>0</v>
      </c>
      <c r="B291" s="6" t="s">
        <v>1936</v>
      </c>
      <c r="C291" s="13">
        <v>1184</v>
      </c>
      <c r="D291" s="8" t="s">
        <v>1937</v>
      </c>
      <c r="E291" s="8" t="s">
        <v>1938</v>
      </c>
      <c r="F291" s="8" t="s">
        <v>1939</v>
      </c>
      <c r="G291" s="6" t="s">
        <v>92</v>
      </c>
      <c r="H291" s="6" t="s">
        <v>52</v>
      </c>
      <c r="I291" s="8" t="s">
        <v>132</v>
      </c>
      <c r="J291" s="9">
        <v>1</v>
      </c>
      <c r="K291" s="9">
        <v>256</v>
      </c>
      <c r="L291" s="9">
        <v>2024</v>
      </c>
      <c r="M291" s="8" t="s">
        <v>1940</v>
      </c>
      <c r="N291" s="8" t="s">
        <v>41</v>
      </c>
      <c r="O291" s="8" t="s">
        <v>42</v>
      </c>
      <c r="P291" s="6" t="s">
        <v>43</v>
      </c>
      <c r="Q291" s="8" t="s">
        <v>286</v>
      </c>
      <c r="R291" s="10" t="s">
        <v>1941</v>
      </c>
      <c r="S291" s="11" t="s">
        <v>1942</v>
      </c>
      <c r="T291" s="6"/>
      <c r="U291" s="27" t="str">
        <f>HYPERLINK("https://media.infra-m.ru/1816/1816619/cover/1816619.jpg", "Обложка")</f>
        <v>Обложка</v>
      </c>
      <c r="V291" s="27" t="str">
        <f>HYPERLINK("https://znanium.com/catalog/product/1015329", "Ознакомиться")</f>
        <v>Ознакомиться</v>
      </c>
      <c r="W291" s="8" t="s">
        <v>125</v>
      </c>
      <c r="X291" s="6"/>
      <c r="Y291" s="6"/>
      <c r="Z291" s="6"/>
      <c r="AA291" s="6" t="s">
        <v>451</v>
      </c>
    </row>
    <row r="292" spans="1:27" s="4" customFormat="1" ht="51.95" customHeight="1">
      <c r="A292" s="5">
        <v>0</v>
      </c>
      <c r="B292" s="6" t="s">
        <v>1943</v>
      </c>
      <c r="C292" s="7">
        <v>650</v>
      </c>
      <c r="D292" s="8" t="s">
        <v>1944</v>
      </c>
      <c r="E292" s="8" t="s">
        <v>1945</v>
      </c>
      <c r="F292" s="8" t="s">
        <v>848</v>
      </c>
      <c r="G292" s="6" t="s">
        <v>37</v>
      </c>
      <c r="H292" s="6" t="s">
        <v>38</v>
      </c>
      <c r="I292" s="8" t="s">
        <v>73</v>
      </c>
      <c r="J292" s="9">
        <v>1</v>
      </c>
      <c r="K292" s="9">
        <v>170</v>
      </c>
      <c r="L292" s="9">
        <v>2022</v>
      </c>
      <c r="M292" s="8" t="s">
        <v>1946</v>
      </c>
      <c r="N292" s="8" t="s">
        <v>41</v>
      </c>
      <c r="O292" s="8" t="s">
        <v>42</v>
      </c>
      <c r="P292" s="6" t="s">
        <v>55</v>
      </c>
      <c r="Q292" s="8" t="s">
        <v>75</v>
      </c>
      <c r="R292" s="10" t="s">
        <v>1947</v>
      </c>
      <c r="S292" s="11" t="s">
        <v>1948</v>
      </c>
      <c r="T292" s="6"/>
      <c r="U292" s="27" t="str">
        <f>HYPERLINK("https://media.infra-m.ru/1855/1855506/cover/1855506.jpg", "Обложка")</f>
        <v>Обложка</v>
      </c>
      <c r="V292" s="27" t="str">
        <f>HYPERLINK("https://znanium.com/catalog/product/1855506", "Ознакомиться")</f>
        <v>Ознакомиться</v>
      </c>
      <c r="W292" s="8"/>
      <c r="X292" s="6"/>
      <c r="Y292" s="6"/>
      <c r="Z292" s="6"/>
      <c r="AA292" s="6" t="s">
        <v>150</v>
      </c>
    </row>
    <row r="293" spans="1:27" s="4" customFormat="1" ht="51.95" customHeight="1">
      <c r="A293" s="5">
        <v>0</v>
      </c>
      <c r="B293" s="6" t="s">
        <v>1949</v>
      </c>
      <c r="C293" s="7">
        <v>724</v>
      </c>
      <c r="D293" s="8" t="s">
        <v>1950</v>
      </c>
      <c r="E293" s="8" t="s">
        <v>1951</v>
      </c>
      <c r="F293" s="8" t="s">
        <v>855</v>
      </c>
      <c r="G293" s="6" t="s">
        <v>92</v>
      </c>
      <c r="H293" s="6" t="s">
        <v>38</v>
      </c>
      <c r="I293" s="8" t="s">
        <v>73</v>
      </c>
      <c r="J293" s="9">
        <v>1</v>
      </c>
      <c r="K293" s="9">
        <v>158</v>
      </c>
      <c r="L293" s="9">
        <v>2023</v>
      </c>
      <c r="M293" s="8" t="s">
        <v>1952</v>
      </c>
      <c r="N293" s="8" t="s">
        <v>41</v>
      </c>
      <c r="O293" s="8" t="s">
        <v>42</v>
      </c>
      <c r="P293" s="6" t="s">
        <v>43</v>
      </c>
      <c r="Q293" s="8" t="s">
        <v>75</v>
      </c>
      <c r="R293" s="10" t="s">
        <v>1953</v>
      </c>
      <c r="S293" s="11" t="s">
        <v>1954</v>
      </c>
      <c r="T293" s="6"/>
      <c r="U293" s="27" t="str">
        <f>HYPERLINK("https://media.infra-m.ru/2053/2053194/cover/2053194.jpg", "Обложка")</f>
        <v>Обложка</v>
      </c>
      <c r="V293" s="27" t="str">
        <f>HYPERLINK("https://znanium.com/catalog/product/1039322", "Ознакомиться")</f>
        <v>Ознакомиться</v>
      </c>
      <c r="W293" s="8" t="s">
        <v>665</v>
      </c>
      <c r="X293" s="6"/>
      <c r="Y293" s="6"/>
      <c r="Z293" s="6"/>
      <c r="AA293" s="6" t="s">
        <v>1955</v>
      </c>
    </row>
    <row r="294" spans="1:27" s="4" customFormat="1" ht="51.95" customHeight="1">
      <c r="A294" s="5">
        <v>0</v>
      </c>
      <c r="B294" s="6" t="s">
        <v>1956</v>
      </c>
      <c r="C294" s="7">
        <v>674.9</v>
      </c>
      <c r="D294" s="8" t="s">
        <v>1957</v>
      </c>
      <c r="E294" s="8" t="s">
        <v>1958</v>
      </c>
      <c r="F294" s="8" t="s">
        <v>310</v>
      </c>
      <c r="G294" s="6" t="s">
        <v>92</v>
      </c>
      <c r="H294" s="6" t="s">
        <v>209</v>
      </c>
      <c r="I294" s="8" t="s">
        <v>619</v>
      </c>
      <c r="J294" s="9">
        <v>1</v>
      </c>
      <c r="K294" s="9">
        <v>208</v>
      </c>
      <c r="L294" s="9">
        <v>2019</v>
      </c>
      <c r="M294" s="8" t="s">
        <v>1959</v>
      </c>
      <c r="N294" s="8" t="s">
        <v>41</v>
      </c>
      <c r="O294" s="8" t="s">
        <v>42</v>
      </c>
      <c r="P294" s="6" t="s">
        <v>43</v>
      </c>
      <c r="Q294" s="8" t="s">
        <v>75</v>
      </c>
      <c r="R294" s="10" t="s">
        <v>1960</v>
      </c>
      <c r="S294" s="11" t="s">
        <v>1961</v>
      </c>
      <c r="T294" s="6"/>
      <c r="U294" s="27" t="str">
        <f>HYPERLINK("https://media.infra-m.ru/1002/1002350/cover/1002350.jpg", "Обложка")</f>
        <v>Обложка</v>
      </c>
      <c r="V294" s="27" t="str">
        <f>HYPERLINK("https://znanium.com/catalog/product/1002350", "Ознакомиться")</f>
        <v>Ознакомиться</v>
      </c>
      <c r="W294" s="8" t="s">
        <v>314</v>
      </c>
      <c r="X294" s="6"/>
      <c r="Y294" s="6"/>
      <c r="Z294" s="6"/>
      <c r="AA294" s="6" t="s">
        <v>47</v>
      </c>
    </row>
    <row r="295" spans="1:27" s="4" customFormat="1" ht="51.95" customHeight="1">
      <c r="A295" s="5">
        <v>0</v>
      </c>
      <c r="B295" s="6" t="s">
        <v>1962</v>
      </c>
      <c r="C295" s="7">
        <v>358</v>
      </c>
      <c r="D295" s="8" t="s">
        <v>1963</v>
      </c>
      <c r="E295" s="8" t="s">
        <v>1964</v>
      </c>
      <c r="F295" s="8" t="s">
        <v>1965</v>
      </c>
      <c r="G295" s="6" t="s">
        <v>119</v>
      </c>
      <c r="H295" s="6" t="s">
        <v>209</v>
      </c>
      <c r="I295" s="8" t="s">
        <v>1966</v>
      </c>
      <c r="J295" s="9">
        <v>1</v>
      </c>
      <c r="K295" s="9">
        <v>118</v>
      </c>
      <c r="L295" s="9">
        <v>2023</v>
      </c>
      <c r="M295" s="8" t="s">
        <v>1967</v>
      </c>
      <c r="N295" s="8" t="s">
        <v>41</v>
      </c>
      <c r="O295" s="8" t="s">
        <v>42</v>
      </c>
      <c r="P295" s="6" t="s">
        <v>43</v>
      </c>
      <c r="Q295" s="8" t="s">
        <v>75</v>
      </c>
      <c r="R295" s="10" t="s">
        <v>1968</v>
      </c>
      <c r="S295" s="11"/>
      <c r="T295" s="6"/>
      <c r="U295" s="27" t="str">
        <f>HYPERLINK("https://media.infra-m.ru/2104/2104866/cover/2104866.jpg", "Обложка")</f>
        <v>Обложка</v>
      </c>
      <c r="V295" s="27" t="str">
        <f>HYPERLINK("https://znanium.com/catalog/product/927476", "Ознакомиться")</f>
        <v>Ознакомиться</v>
      </c>
      <c r="W295" s="8" t="s">
        <v>314</v>
      </c>
      <c r="X295" s="6"/>
      <c r="Y295" s="6"/>
      <c r="Z295" s="6"/>
      <c r="AA295" s="6" t="s">
        <v>87</v>
      </c>
    </row>
    <row r="296" spans="1:27" s="4" customFormat="1" ht="21.95" customHeight="1">
      <c r="A296" s="5">
        <v>0</v>
      </c>
      <c r="B296" s="6" t="s">
        <v>1969</v>
      </c>
      <c r="C296" s="7">
        <v>74.900000000000006</v>
      </c>
      <c r="D296" s="8" t="s">
        <v>1970</v>
      </c>
      <c r="E296" s="8" t="s">
        <v>1958</v>
      </c>
      <c r="F296" s="8"/>
      <c r="G296" s="6" t="s">
        <v>119</v>
      </c>
      <c r="H296" s="6" t="s">
        <v>209</v>
      </c>
      <c r="I296" s="8" t="s">
        <v>465</v>
      </c>
      <c r="J296" s="9">
        <v>1</v>
      </c>
      <c r="K296" s="9">
        <v>145</v>
      </c>
      <c r="L296" s="9">
        <v>2017</v>
      </c>
      <c r="M296" s="8" t="s">
        <v>1971</v>
      </c>
      <c r="N296" s="8" t="s">
        <v>41</v>
      </c>
      <c r="O296" s="8" t="s">
        <v>42</v>
      </c>
      <c r="P296" s="6" t="s">
        <v>467</v>
      </c>
      <c r="Q296" s="8" t="s">
        <v>75</v>
      </c>
      <c r="R296" s="10" t="s">
        <v>1972</v>
      </c>
      <c r="S296" s="11"/>
      <c r="T296" s="6"/>
      <c r="U296" s="12"/>
      <c r="V296" s="27" t="str">
        <f>HYPERLINK("https://znanium.com/catalog/product/228523", "Ознакомиться")</f>
        <v>Ознакомиться</v>
      </c>
      <c r="W296" s="8"/>
      <c r="X296" s="6"/>
      <c r="Y296" s="6"/>
      <c r="Z296" s="6"/>
      <c r="AA296" s="6" t="s">
        <v>469</v>
      </c>
    </row>
    <row r="297" spans="1:27" s="4" customFormat="1" ht="42" customHeight="1">
      <c r="A297" s="5">
        <v>0</v>
      </c>
      <c r="B297" s="6" t="s">
        <v>1973</v>
      </c>
      <c r="C297" s="13">
        <v>1694</v>
      </c>
      <c r="D297" s="8" t="s">
        <v>1974</v>
      </c>
      <c r="E297" s="8" t="s">
        <v>1975</v>
      </c>
      <c r="F297" s="8" t="s">
        <v>1976</v>
      </c>
      <c r="G297" s="6" t="s">
        <v>92</v>
      </c>
      <c r="H297" s="6" t="s">
        <v>131</v>
      </c>
      <c r="I297" s="8" t="s">
        <v>132</v>
      </c>
      <c r="J297" s="9">
        <v>1</v>
      </c>
      <c r="K297" s="9">
        <v>368</v>
      </c>
      <c r="L297" s="9">
        <v>2024</v>
      </c>
      <c r="M297" s="8" t="s">
        <v>1977</v>
      </c>
      <c r="N297" s="8" t="s">
        <v>41</v>
      </c>
      <c r="O297" s="8" t="s">
        <v>42</v>
      </c>
      <c r="P297" s="6" t="s">
        <v>55</v>
      </c>
      <c r="Q297" s="8" t="s">
        <v>75</v>
      </c>
      <c r="R297" s="10" t="s">
        <v>1978</v>
      </c>
      <c r="S297" s="11"/>
      <c r="T297" s="6"/>
      <c r="U297" s="27" t="str">
        <f>HYPERLINK("https://media.infra-m.ru/2102/2102171/cover/2102171.jpg", "Обложка")</f>
        <v>Обложка</v>
      </c>
      <c r="V297" s="27" t="str">
        <f>HYPERLINK("https://znanium.com/catalog/product/1136780", "Ознакомиться")</f>
        <v>Ознакомиться</v>
      </c>
      <c r="W297" s="8" t="s">
        <v>125</v>
      </c>
      <c r="X297" s="6"/>
      <c r="Y297" s="6"/>
      <c r="Z297" s="6"/>
      <c r="AA297" s="6" t="s">
        <v>114</v>
      </c>
    </row>
    <row r="298" spans="1:27" s="4" customFormat="1" ht="51.95" customHeight="1">
      <c r="A298" s="5">
        <v>0</v>
      </c>
      <c r="B298" s="6" t="s">
        <v>1979</v>
      </c>
      <c r="C298" s="13">
        <v>1274.9000000000001</v>
      </c>
      <c r="D298" s="8" t="s">
        <v>1980</v>
      </c>
      <c r="E298" s="8" t="s">
        <v>1981</v>
      </c>
      <c r="F298" s="8" t="s">
        <v>591</v>
      </c>
      <c r="G298" s="6" t="s">
        <v>92</v>
      </c>
      <c r="H298" s="6" t="s">
        <v>38</v>
      </c>
      <c r="I298" s="8" t="s">
        <v>73</v>
      </c>
      <c r="J298" s="9">
        <v>1</v>
      </c>
      <c r="K298" s="9">
        <v>282</v>
      </c>
      <c r="L298" s="9">
        <v>2023</v>
      </c>
      <c r="M298" s="8" t="s">
        <v>1982</v>
      </c>
      <c r="N298" s="8" t="s">
        <v>41</v>
      </c>
      <c r="O298" s="8" t="s">
        <v>42</v>
      </c>
      <c r="P298" s="6" t="s">
        <v>55</v>
      </c>
      <c r="Q298" s="8" t="s">
        <v>75</v>
      </c>
      <c r="R298" s="10" t="s">
        <v>1983</v>
      </c>
      <c r="S298" s="11" t="s">
        <v>1984</v>
      </c>
      <c r="T298" s="6" t="s">
        <v>59</v>
      </c>
      <c r="U298" s="27" t="str">
        <f>HYPERLINK("https://media.infra-m.ru/1933/1933144/cover/1933144.jpg", "Обложка")</f>
        <v>Обложка</v>
      </c>
      <c r="V298" s="27" t="str">
        <f>HYPERLINK("https://znanium.com/catalog/product/1844283", "Ознакомиться")</f>
        <v>Ознакомиться</v>
      </c>
      <c r="W298" s="8" t="s">
        <v>595</v>
      </c>
      <c r="X298" s="6"/>
      <c r="Y298" s="6"/>
      <c r="Z298" s="6"/>
      <c r="AA298" s="6" t="s">
        <v>114</v>
      </c>
    </row>
    <row r="299" spans="1:27" s="4" customFormat="1" ht="51.95" customHeight="1">
      <c r="A299" s="5">
        <v>0</v>
      </c>
      <c r="B299" s="6" t="s">
        <v>1985</v>
      </c>
      <c r="C299" s="13">
        <v>1444</v>
      </c>
      <c r="D299" s="8" t="s">
        <v>1986</v>
      </c>
      <c r="E299" s="8" t="s">
        <v>1981</v>
      </c>
      <c r="F299" s="8" t="s">
        <v>1987</v>
      </c>
      <c r="G299" s="6" t="s">
        <v>92</v>
      </c>
      <c r="H299" s="6" t="s">
        <v>38</v>
      </c>
      <c r="I299" s="8" t="s">
        <v>73</v>
      </c>
      <c r="J299" s="9">
        <v>1</v>
      </c>
      <c r="K299" s="9">
        <v>313</v>
      </c>
      <c r="L299" s="9">
        <v>2024</v>
      </c>
      <c r="M299" s="8" t="s">
        <v>1988</v>
      </c>
      <c r="N299" s="8" t="s">
        <v>41</v>
      </c>
      <c r="O299" s="8" t="s">
        <v>42</v>
      </c>
      <c r="P299" s="6" t="s">
        <v>55</v>
      </c>
      <c r="Q299" s="8" t="s">
        <v>75</v>
      </c>
      <c r="R299" s="10" t="s">
        <v>1989</v>
      </c>
      <c r="S299" s="11" t="s">
        <v>1990</v>
      </c>
      <c r="T299" s="6"/>
      <c r="U299" s="27" t="str">
        <f>HYPERLINK("https://media.infra-m.ru/1998/1998957/cover/1998957.jpg", "Обложка")</f>
        <v>Обложка</v>
      </c>
      <c r="V299" s="27" t="str">
        <f>HYPERLINK("https://znanium.com/catalog/product/1004434", "Ознакомиться")</f>
        <v>Ознакомиться</v>
      </c>
      <c r="W299" s="8" t="s">
        <v>125</v>
      </c>
      <c r="X299" s="6"/>
      <c r="Y299" s="6"/>
      <c r="Z299" s="6"/>
      <c r="AA299" s="6" t="s">
        <v>114</v>
      </c>
    </row>
    <row r="300" spans="1:27" s="4" customFormat="1" ht="51.95" customHeight="1">
      <c r="A300" s="5">
        <v>0</v>
      </c>
      <c r="B300" s="6" t="s">
        <v>1991</v>
      </c>
      <c r="C300" s="13">
        <v>1680</v>
      </c>
      <c r="D300" s="8" t="s">
        <v>1992</v>
      </c>
      <c r="E300" s="8" t="s">
        <v>1993</v>
      </c>
      <c r="F300" s="8" t="s">
        <v>874</v>
      </c>
      <c r="G300" s="6" t="s">
        <v>92</v>
      </c>
      <c r="H300" s="6" t="s">
        <v>38</v>
      </c>
      <c r="I300" s="8" t="s">
        <v>132</v>
      </c>
      <c r="J300" s="9">
        <v>1</v>
      </c>
      <c r="K300" s="9">
        <v>359</v>
      </c>
      <c r="L300" s="9">
        <v>2023</v>
      </c>
      <c r="M300" s="8" t="s">
        <v>1994</v>
      </c>
      <c r="N300" s="8" t="s">
        <v>41</v>
      </c>
      <c r="O300" s="8" t="s">
        <v>42</v>
      </c>
      <c r="P300" s="6" t="s">
        <v>43</v>
      </c>
      <c r="Q300" s="8" t="s">
        <v>75</v>
      </c>
      <c r="R300" s="10" t="s">
        <v>1995</v>
      </c>
      <c r="S300" s="11"/>
      <c r="T300" s="6"/>
      <c r="U300" s="27" t="str">
        <f>HYPERLINK("https://media.infra-m.ru/1852/1852505/cover/1852505.jpg", "Обложка")</f>
        <v>Обложка</v>
      </c>
      <c r="V300" s="27" t="str">
        <f>HYPERLINK("https://znanium.com/catalog/product/1852505", "Ознакомиться")</f>
        <v>Ознакомиться</v>
      </c>
      <c r="W300" s="8" t="s">
        <v>419</v>
      </c>
      <c r="X300" s="6" t="s">
        <v>1996</v>
      </c>
      <c r="Y300" s="6"/>
      <c r="Z300" s="6"/>
      <c r="AA300" s="6" t="s">
        <v>461</v>
      </c>
    </row>
    <row r="301" spans="1:27" s="4" customFormat="1" ht="51.95" customHeight="1">
      <c r="A301" s="5">
        <v>0</v>
      </c>
      <c r="B301" s="6" t="s">
        <v>1997</v>
      </c>
      <c r="C301" s="13">
        <v>1650</v>
      </c>
      <c r="D301" s="8" t="s">
        <v>1998</v>
      </c>
      <c r="E301" s="8" t="s">
        <v>1993</v>
      </c>
      <c r="F301" s="8" t="s">
        <v>874</v>
      </c>
      <c r="G301" s="6" t="s">
        <v>92</v>
      </c>
      <c r="H301" s="6" t="s">
        <v>38</v>
      </c>
      <c r="I301" s="8" t="s">
        <v>53</v>
      </c>
      <c r="J301" s="9">
        <v>1</v>
      </c>
      <c r="K301" s="9">
        <v>359</v>
      </c>
      <c r="L301" s="9">
        <v>2023</v>
      </c>
      <c r="M301" s="8" t="s">
        <v>1999</v>
      </c>
      <c r="N301" s="8" t="s">
        <v>41</v>
      </c>
      <c r="O301" s="8" t="s">
        <v>42</v>
      </c>
      <c r="P301" s="6" t="s">
        <v>43</v>
      </c>
      <c r="Q301" s="8" t="s">
        <v>56</v>
      </c>
      <c r="R301" s="10" t="s">
        <v>2000</v>
      </c>
      <c r="S301" s="11"/>
      <c r="T301" s="6"/>
      <c r="U301" s="27" t="str">
        <f>HYPERLINK("https://media.infra-m.ru/2036/2036549/cover/2036549.jpg", "Обложка")</f>
        <v>Обложка</v>
      </c>
      <c r="V301" s="12"/>
      <c r="W301" s="8" t="s">
        <v>419</v>
      </c>
      <c r="X301" s="6" t="s">
        <v>950</v>
      </c>
      <c r="Y301" s="6"/>
      <c r="Z301" s="6" t="s">
        <v>60</v>
      </c>
      <c r="AA301" s="6" t="s">
        <v>461</v>
      </c>
    </row>
    <row r="302" spans="1:27" s="4" customFormat="1" ht="42" customHeight="1">
      <c r="A302" s="5">
        <v>0</v>
      </c>
      <c r="B302" s="6" t="s">
        <v>2001</v>
      </c>
      <c r="C302" s="7">
        <v>620</v>
      </c>
      <c r="D302" s="8" t="s">
        <v>2002</v>
      </c>
      <c r="E302" s="8" t="s">
        <v>2003</v>
      </c>
      <c r="F302" s="8" t="s">
        <v>2004</v>
      </c>
      <c r="G302" s="6" t="s">
        <v>37</v>
      </c>
      <c r="H302" s="6" t="s">
        <v>38</v>
      </c>
      <c r="I302" s="8" t="s">
        <v>120</v>
      </c>
      <c r="J302" s="9">
        <v>1</v>
      </c>
      <c r="K302" s="9">
        <v>158</v>
      </c>
      <c r="L302" s="9">
        <v>2022</v>
      </c>
      <c r="M302" s="8" t="s">
        <v>2005</v>
      </c>
      <c r="N302" s="8" t="s">
        <v>41</v>
      </c>
      <c r="O302" s="8" t="s">
        <v>42</v>
      </c>
      <c r="P302" s="6" t="s">
        <v>122</v>
      </c>
      <c r="Q302" s="8" t="s">
        <v>123</v>
      </c>
      <c r="R302" s="10" t="s">
        <v>2006</v>
      </c>
      <c r="S302" s="11"/>
      <c r="T302" s="6"/>
      <c r="U302" s="27" t="str">
        <f>HYPERLINK("https://media.infra-m.ru/1854/1854966/cover/1854966.jpg", "Обложка")</f>
        <v>Обложка</v>
      </c>
      <c r="V302" s="27" t="str">
        <f>HYPERLINK("https://znanium.com/catalog/product/1854966", "Ознакомиться")</f>
        <v>Ознакомиться</v>
      </c>
      <c r="W302" s="8" t="s">
        <v>2007</v>
      </c>
      <c r="X302" s="6"/>
      <c r="Y302" s="6"/>
      <c r="Z302" s="6"/>
      <c r="AA302" s="6" t="s">
        <v>346</v>
      </c>
    </row>
    <row r="303" spans="1:27" s="4" customFormat="1" ht="51.95" customHeight="1">
      <c r="A303" s="5">
        <v>0</v>
      </c>
      <c r="B303" s="6" t="s">
        <v>2008</v>
      </c>
      <c r="C303" s="13">
        <v>1584.9</v>
      </c>
      <c r="D303" s="8" t="s">
        <v>2009</v>
      </c>
      <c r="E303" s="8" t="s">
        <v>2010</v>
      </c>
      <c r="F303" s="8" t="s">
        <v>2011</v>
      </c>
      <c r="G303" s="6" t="s">
        <v>92</v>
      </c>
      <c r="H303" s="6" t="s">
        <v>1120</v>
      </c>
      <c r="I303" s="8"/>
      <c r="J303" s="9">
        <v>1</v>
      </c>
      <c r="K303" s="9">
        <v>352</v>
      </c>
      <c r="L303" s="9">
        <v>2023</v>
      </c>
      <c r="M303" s="8" t="s">
        <v>2012</v>
      </c>
      <c r="N303" s="8" t="s">
        <v>41</v>
      </c>
      <c r="O303" s="8" t="s">
        <v>42</v>
      </c>
      <c r="P303" s="6" t="s">
        <v>43</v>
      </c>
      <c r="Q303" s="8" t="s">
        <v>75</v>
      </c>
      <c r="R303" s="10" t="s">
        <v>2013</v>
      </c>
      <c r="S303" s="11" t="s">
        <v>2014</v>
      </c>
      <c r="T303" s="6"/>
      <c r="U303" s="27" t="str">
        <f>HYPERLINK("https://media.infra-m.ru/1894/1894605/cover/1894605.jpg", "Обложка")</f>
        <v>Обложка</v>
      </c>
      <c r="V303" s="27" t="str">
        <f>HYPERLINK("https://znanium.com/catalog/product/961748", "Ознакомиться")</f>
        <v>Ознакомиться</v>
      </c>
      <c r="W303" s="8" t="s">
        <v>2015</v>
      </c>
      <c r="X303" s="6"/>
      <c r="Y303" s="6"/>
      <c r="Z303" s="6"/>
      <c r="AA303" s="6" t="s">
        <v>150</v>
      </c>
    </row>
    <row r="304" spans="1:27" s="4" customFormat="1" ht="44.1" customHeight="1">
      <c r="A304" s="5">
        <v>0</v>
      </c>
      <c r="B304" s="6" t="s">
        <v>2016</v>
      </c>
      <c r="C304" s="7">
        <v>990</v>
      </c>
      <c r="D304" s="8" t="s">
        <v>2017</v>
      </c>
      <c r="E304" s="8" t="s">
        <v>2018</v>
      </c>
      <c r="F304" s="8" t="s">
        <v>2019</v>
      </c>
      <c r="G304" s="6" t="s">
        <v>92</v>
      </c>
      <c r="H304" s="6" t="s">
        <v>38</v>
      </c>
      <c r="I304" s="8" t="s">
        <v>2020</v>
      </c>
      <c r="J304" s="9">
        <v>1</v>
      </c>
      <c r="K304" s="9">
        <v>207</v>
      </c>
      <c r="L304" s="9">
        <v>2024</v>
      </c>
      <c r="M304" s="8" t="s">
        <v>2021</v>
      </c>
      <c r="N304" s="8" t="s">
        <v>41</v>
      </c>
      <c r="O304" s="8" t="s">
        <v>42</v>
      </c>
      <c r="P304" s="6" t="s">
        <v>43</v>
      </c>
      <c r="Q304" s="8" t="s">
        <v>75</v>
      </c>
      <c r="R304" s="10" t="s">
        <v>2022</v>
      </c>
      <c r="S304" s="11"/>
      <c r="T304" s="6"/>
      <c r="U304" s="27" t="str">
        <f>HYPERLINK("https://media.infra-m.ru/1895/1895314/cover/1895314.jpg", "Обложка")</f>
        <v>Обложка</v>
      </c>
      <c r="V304" s="27" t="str">
        <f>HYPERLINK("https://znanium.com/catalog/product/1895314", "Ознакомиться")</f>
        <v>Ознакомиться</v>
      </c>
      <c r="W304" s="8" t="s">
        <v>2023</v>
      </c>
      <c r="X304" s="6" t="s">
        <v>434</v>
      </c>
      <c r="Y304" s="6"/>
      <c r="Z304" s="6"/>
      <c r="AA304" s="6" t="s">
        <v>435</v>
      </c>
    </row>
    <row r="305" spans="1:27" s="4" customFormat="1" ht="44.1" customHeight="1">
      <c r="A305" s="5">
        <v>0</v>
      </c>
      <c r="B305" s="6" t="s">
        <v>2024</v>
      </c>
      <c r="C305" s="13">
        <v>1124.9000000000001</v>
      </c>
      <c r="D305" s="8" t="s">
        <v>2025</v>
      </c>
      <c r="E305" s="8" t="s">
        <v>2026</v>
      </c>
      <c r="F305" s="8" t="s">
        <v>2027</v>
      </c>
      <c r="G305" s="6" t="s">
        <v>119</v>
      </c>
      <c r="H305" s="6" t="s">
        <v>38</v>
      </c>
      <c r="I305" s="8" t="s">
        <v>120</v>
      </c>
      <c r="J305" s="9">
        <v>1</v>
      </c>
      <c r="K305" s="9">
        <v>243</v>
      </c>
      <c r="L305" s="9">
        <v>2024</v>
      </c>
      <c r="M305" s="8" t="s">
        <v>2028</v>
      </c>
      <c r="N305" s="8" t="s">
        <v>41</v>
      </c>
      <c r="O305" s="8" t="s">
        <v>42</v>
      </c>
      <c r="P305" s="6" t="s">
        <v>122</v>
      </c>
      <c r="Q305" s="8" t="s">
        <v>123</v>
      </c>
      <c r="R305" s="10" t="s">
        <v>687</v>
      </c>
      <c r="S305" s="11"/>
      <c r="T305" s="6"/>
      <c r="U305" s="27" t="str">
        <f>HYPERLINK("https://media.infra-m.ru/2117/2117564/cover/2117564.jpg", "Обложка")</f>
        <v>Обложка</v>
      </c>
      <c r="V305" s="27" t="str">
        <f>HYPERLINK("https://znanium.com/catalog/product/2117153", "Ознакомиться")</f>
        <v>Ознакомиться</v>
      </c>
      <c r="W305" s="8" t="s">
        <v>1471</v>
      </c>
      <c r="X305" s="6"/>
      <c r="Y305" s="6"/>
      <c r="Z305" s="6"/>
      <c r="AA305" s="6" t="s">
        <v>382</v>
      </c>
    </row>
    <row r="306" spans="1:27" s="4" customFormat="1" ht="51.95" customHeight="1">
      <c r="A306" s="5">
        <v>0</v>
      </c>
      <c r="B306" s="6" t="s">
        <v>2029</v>
      </c>
      <c r="C306" s="7">
        <v>724</v>
      </c>
      <c r="D306" s="8" t="s">
        <v>2030</v>
      </c>
      <c r="E306" s="8" t="s">
        <v>2031</v>
      </c>
      <c r="F306" s="8" t="s">
        <v>2032</v>
      </c>
      <c r="G306" s="6" t="s">
        <v>119</v>
      </c>
      <c r="H306" s="6" t="s">
        <v>38</v>
      </c>
      <c r="I306" s="8" t="s">
        <v>2033</v>
      </c>
      <c r="J306" s="9">
        <v>1</v>
      </c>
      <c r="K306" s="9">
        <v>159</v>
      </c>
      <c r="L306" s="9">
        <v>2023</v>
      </c>
      <c r="M306" s="8" t="s">
        <v>2034</v>
      </c>
      <c r="N306" s="8" t="s">
        <v>41</v>
      </c>
      <c r="O306" s="8" t="s">
        <v>42</v>
      </c>
      <c r="P306" s="6" t="s">
        <v>122</v>
      </c>
      <c r="Q306" s="8" t="s">
        <v>123</v>
      </c>
      <c r="R306" s="10" t="s">
        <v>2035</v>
      </c>
      <c r="S306" s="11"/>
      <c r="T306" s="6"/>
      <c r="U306" s="27" t="str">
        <f>HYPERLINK("https://media.infra-m.ru/2030/2030863/cover/2030863.jpg", "Обложка")</f>
        <v>Обложка</v>
      </c>
      <c r="V306" s="27" t="str">
        <f>HYPERLINK("https://znanium.com/catalog/product/989806", "Ознакомиться")</f>
        <v>Ознакомиться</v>
      </c>
      <c r="W306" s="8" t="s">
        <v>1471</v>
      </c>
      <c r="X306" s="6"/>
      <c r="Y306" s="6"/>
      <c r="Z306" s="6"/>
      <c r="AA306" s="6" t="s">
        <v>126</v>
      </c>
    </row>
    <row r="307" spans="1:27" s="4" customFormat="1" ht="51.95" customHeight="1">
      <c r="A307" s="5">
        <v>0</v>
      </c>
      <c r="B307" s="6" t="s">
        <v>2036</v>
      </c>
      <c r="C307" s="13">
        <v>1844</v>
      </c>
      <c r="D307" s="8" t="s">
        <v>2037</v>
      </c>
      <c r="E307" s="8" t="s">
        <v>2038</v>
      </c>
      <c r="F307" s="8" t="s">
        <v>2039</v>
      </c>
      <c r="G307" s="6" t="s">
        <v>92</v>
      </c>
      <c r="H307" s="6" t="s">
        <v>424</v>
      </c>
      <c r="I307" s="8"/>
      <c r="J307" s="9">
        <v>12</v>
      </c>
      <c r="K307" s="9">
        <v>400</v>
      </c>
      <c r="L307" s="9">
        <v>2024</v>
      </c>
      <c r="M307" s="8" t="s">
        <v>2040</v>
      </c>
      <c r="N307" s="8" t="s">
        <v>41</v>
      </c>
      <c r="O307" s="8" t="s">
        <v>401</v>
      </c>
      <c r="P307" s="6" t="s">
        <v>55</v>
      </c>
      <c r="Q307" s="8" t="s">
        <v>75</v>
      </c>
      <c r="R307" s="10" t="s">
        <v>2041</v>
      </c>
      <c r="S307" s="11"/>
      <c r="T307" s="6"/>
      <c r="U307" s="27" t="str">
        <f>HYPERLINK("https://media.infra-m.ru/2063/2063447/cover/2063447.jpg", "Обложка")</f>
        <v>Обложка</v>
      </c>
      <c r="V307" s="27" t="str">
        <f>HYPERLINK("https://znanium.com/catalog/product/1383531", "Ознакомиться")</f>
        <v>Ознакомиться</v>
      </c>
      <c r="W307" s="8" t="s">
        <v>2042</v>
      </c>
      <c r="X307" s="6"/>
      <c r="Y307" s="6"/>
      <c r="Z307" s="6"/>
      <c r="AA307" s="6" t="s">
        <v>451</v>
      </c>
    </row>
    <row r="308" spans="1:27" s="4" customFormat="1" ht="51.95" customHeight="1">
      <c r="A308" s="5">
        <v>0</v>
      </c>
      <c r="B308" s="6" t="s">
        <v>2043</v>
      </c>
      <c r="C308" s="13">
        <v>1794</v>
      </c>
      <c r="D308" s="8" t="s">
        <v>2044</v>
      </c>
      <c r="E308" s="8" t="s">
        <v>2038</v>
      </c>
      <c r="F308" s="8" t="s">
        <v>2045</v>
      </c>
      <c r="G308" s="6" t="s">
        <v>92</v>
      </c>
      <c r="H308" s="6" t="s">
        <v>38</v>
      </c>
      <c r="I308" s="8" t="s">
        <v>53</v>
      </c>
      <c r="J308" s="9">
        <v>1</v>
      </c>
      <c r="K308" s="9">
        <v>397</v>
      </c>
      <c r="L308" s="9">
        <v>2023</v>
      </c>
      <c r="M308" s="8" t="s">
        <v>2046</v>
      </c>
      <c r="N308" s="8" t="s">
        <v>41</v>
      </c>
      <c r="O308" s="8" t="s">
        <v>401</v>
      </c>
      <c r="P308" s="6" t="s">
        <v>55</v>
      </c>
      <c r="Q308" s="8" t="s">
        <v>56</v>
      </c>
      <c r="R308" s="10" t="s">
        <v>2047</v>
      </c>
      <c r="S308" s="11" t="s">
        <v>2048</v>
      </c>
      <c r="T308" s="6"/>
      <c r="U308" s="27" t="str">
        <f>HYPERLINK("https://media.infra-m.ru/2021/2021443/cover/2021443.jpg", "Обложка")</f>
        <v>Обложка</v>
      </c>
      <c r="V308" s="27" t="str">
        <f>HYPERLINK("https://znanium.com/catalog/product/961667", "Ознакомиться")</f>
        <v>Ознакомиться</v>
      </c>
      <c r="W308" s="8" t="s">
        <v>2042</v>
      </c>
      <c r="X308" s="6"/>
      <c r="Y308" s="6"/>
      <c r="Z308" s="6" t="s">
        <v>60</v>
      </c>
      <c r="AA308" s="6" t="s">
        <v>299</v>
      </c>
    </row>
    <row r="309" spans="1:27" s="4" customFormat="1" ht="51.95" customHeight="1">
      <c r="A309" s="5">
        <v>0</v>
      </c>
      <c r="B309" s="6" t="s">
        <v>2049</v>
      </c>
      <c r="C309" s="7">
        <v>934</v>
      </c>
      <c r="D309" s="8" t="s">
        <v>2050</v>
      </c>
      <c r="E309" s="8" t="s">
        <v>2051</v>
      </c>
      <c r="F309" s="8" t="s">
        <v>1619</v>
      </c>
      <c r="G309" s="6" t="s">
        <v>37</v>
      </c>
      <c r="H309" s="6" t="s">
        <v>38</v>
      </c>
      <c r="I309" s="8" t="s">
        <v>53</v>
      </c>
      <c r="J309" s="9">
        <v>1</v>
      </c>
      <c r="K309" s="9">
        <v>205</v>
      </c>
      <c r="L309" s="9">
        <v>2023</v>
      </c>
      <c r="M309" s="8" t="s">
        <v>2052</v>
      </c>
      <c r="N309" s="8" t="s">
        <v>41</v>
      </c>
      <c r="O309" s="8" t="s">
        <v>42</v>
      </c>
      <c r="P309" s="6" t="s">
        <v>43</v>
      </c>
      <c r="Q309" s="8" t="s">
        <v>56</v>
      </c>
      <c r="R309" s="10" t="s">
        <v>1602</v>
      </c>
      <c r="S309" s="11" t="s">
        <v>2053</v>
      </c>
      <c r="T309" s="6"/>
      <c r="U309" s="27" t="str">
        <f>HYPERLINK("https://media.infra-m.ru/2023/2023201/cover/2023201.jpg", "Обложка")</f>
        <v>Обложка</v>
      </c>
      <c r="V309" s="27" t="str">
        <f>HYPERLINK("https://znanium.com/catalog/product/1843156", "Ознакомиться")</f>
        <v>Ознакомиться</v>
      </c>
      <c r="W309" s="8" t="s">
        <v>1623</v>
      </c>
      <c r="X309" s="6"/>
      <c r="Y309" s="6"/>
      <c r="Z309" s="6"/>
      <c r="AA309" s="6" t="s">
        <v>299</v>
      </c>
    </row>
    <row r="310" spans="1:27" s="4" customFormat="1" ht="42" customHeight="1">
      <c r="A310" s="5">
        <v>0</v>
      </c>
      <c r="B310" s="6" t="s">
        <v>2054</v>
      </c>
      <c r="C310" s="7">
        <v>274.89999999999998</v>
      </c>
      <c r="D310" s="8" t="s">
        <v>2055</v>
      </c>
      <c r="E310" s="8" t="s">
        <v>2056</v>
      </c>
      <c r="F310" s="8" t="s">
        <v>2057</v>
      </c>
      <c r="G310" s="6" t="s">
        <v>119</v>
      </c>
      <c r="H310" s="6" t="s">
        <v>209</v>
      </c>
      <c r="I310" s="8" t="s">
        <v>465</v>
      </c>
      <c r="J310" s="9">
        <v>1</v>
      </c>
      <c r="K310" s="9">
        <v>125</v>
      </c>
      <c r="L310" s="9">
        <v>2020</v>
      </c>
      <c r="M310" s="8" t="s">
        <v>2058</v>
      </c>
      <c r="N310" s="8" t="s">
        <v>41</v>
      </c>
      <c r="O310" s="8" t="s">
        <v>42</v>
      </c>
      <c r="P310" s="6" t="s">
        <v>467</v>
      </c>
      <c r="Q310" s="8" t="s">
        <v>75</v>
      </c>
      <c r="R310" s="10"/>
      <c r="S310" s="11"/>
      <c r="T310" s="6"/>
      <c r="U310" s="27" t="str">
        <f>HYPERLINK("https://media.infra-m.ru/1088/1088254/cover/1088254.jpg", "Обложка")</f>
        <v>Обложка</v>
      </c>
      <c r="V310" s="12"/>
      <c r="W310" s="8"/>
      <c r="X310" s="6"/>
      <c r="Y310" s="6"/>
      <c r="Z310" s="6"/>
      <c r="AA310" s="6" t="s">
        <v>469</v>
      </c>
    </row>
    <row r="311" spans="1:27" s="4" customFormat="1" ht="51.95" customHeight="1">
      <c r="A311" s="5">
        <v>0</v>
      </c>
      <c r="B311" s="6" t="s">
        <v>2059</v>
      </c>
      <c r="C311" s="7">
        <v>334.9</v>
      </c>
      <c r="D311" s="8" t="s">
        <v>2060</v>
      </c>
      <c r="E311" s="8" t="s">
        <v>2061</v>
      </c>
      <c r="F311" s="8" t="s">
        <v>2062</v>
      </c>
      <c r="G311" s="6" t="s">
        <v>119</v>
      </c>
      <c r="H311" s="6" t="s">
        <v>209</v>
      </c>
      <c r="I311" s="8" t="s">
        <v>1966</v>
      </c>
      <c r="J311" s="9">
        <v>1</v>
      </c>
      <c r="K311" s="9">
        <v>192</v>
      </c>
      <c r="L311" s="9">
        <v>2018</v>
      </c>
      <c r="M311" s="8" t="s">
        <v>2063</v>
      </c>
      <c r="N311" s="8" t="s">
        <v>41</v>
      </c>
      <c r="O311" s="8" t="s">
        <v>42</v>
      </c>
      <c r="P311" s="6" t="s">
        <v>43</v>
      </c>
      <c r="Q311" s="8" t="s">
        <v>75</v>
      </c>
      <c r="R311" s="10" t="s">
        <v>2064</v>
      </c>
      <c r="S311" s="11"/>
      <c r="T311" s="6"/>
      <c r="U311" s="27" t="str">
        <f>HYPERLINK("https://media.infra-m.ru/0927/0927400/cover/927400.jpg", "Обложка")</f>
        <v>Обложка</v>
      </c>
      <c r="V311" s="27" t="str">
        <f>HYPERLINK("https://znanium.com/catalog/product/927400", "Ознакомиться")</f>
        <v>Ознакомиться</v>
      </c>
      <c r="W311" s="8" t="s">
        <v>1101</v>
      </c>
      <c r="X311" s="6"/>
      <c r="Y311" s="6"/>
      <c r="Z311" s="6"/>
      <c r="AA311" s="6" t="s">
        <v>2065</v>
      </c>
    </row>
    <row r="312" spans="1:27" s="4" customFormat="1" ht="51.95" customHeight="1">
      <c r="A312" s="5">
        <v>0</v>
      </c>
      <c r="B312" s="6" t="s">
        <v>2066</v>
      </c>
      <c r="C312" s="7">
        <v>874</v>
      </c>
      <c r="D312" s="8" t="s">
        <v>2067</v>
      </c>
      <c r="E312" s="8" t="s">
        <v>2068</v>
      </c>
      <c r="F312" s="8" t="s">
        <v>2069</v>
      </c>
      <c r="G312" s="6" t="s">
        <v>119</v>
      </c>
      <c r="H312" s="6" t="s">
        <v>38</v>
      </c>
      <c r="I312" s="8" t="s">
        <v>73</v>
      </c>
      <c r="J312" s="9">
        <v>1</v>
      </c>
      <c r="K312" s="9">
        <v>190</v>
      </c>
      <c r="L312" s="9">
        <v>2024</v>
      </c>
      <c r="M312" s="8" t="s">
        <v>2070</v>
      </c>
      <c r="N312" s="8" t="s">
        <v>41</v>
      </c>
      <c r="O312" s="8" t="s">
        <v>42</v>
      </c>
      <c r="P312" s="6" t="s">
        <v>43</v>
      </c>
      <c r="Q312" s="8" t="s">
        <v>75</v>
      </c>
      <c r="R312" s="10" t="s">
        <v>2071</v>
      </c>
      <c r="S312" s="11" t="s">
        <v>2072</v>
      </c>
      <c r="T312" s="6"/>
      <c r="U312" s="27" t="str">
        <f>HYPERLINK("https://media.infra-m.ru/2091/2091918/cover/2091918.jpg", "Обложка")</f>
        <v>Обложка</v>
      </c>
      <c r="V312" s="27" t="str">
        <f>HYPERLINK("https://znanium.com/catalog/product/1819448", "Ознакомиться")</f>
        <v>Ознакомиться</v>
      </c>
      <c r="W312" s="8" t="s">
        <v>1024</v>
      </c>
      <c r="X312" s="6"/>
      <c r="Y312" s="6"/>
      <c r="Z312" s="6"/>
      <c r="AA312" s="6" t="s">
        <v>213</v>
      </c>
    </row>
    <row r="313" spans="1:27" s="4" customFormat="1" ht="51.95" customHeight="1">
      <c r="A313" s="5">
        <v>0</v>
      </c>
      <c r="B313" s="6" t="s">
        <v>2073</v>
      </c>
      <c r="C313" s="7">
        <v>810</v>
      </c>
      <c r="D313" s="8" t="s">
        <v>2074</v>
      </c>
      <c r="E313" s="8" t="s">
        <v>2075</v>
      </c>
      <c r="F313" s="8" t="s">
        <v>2076</v>
      </c>
      <c r="G313" s="6" t="s">
        <v>92</v>
      </c>
      <c r="H313" s="6" t="s">
        <v>38</v>
      </c>
      <c r="I313" s="8" t="s">
        <v>73</v>
      </c>
      <c r="J313" s="9">
        <v>1</v>
      </c>
      <c r="K313" s="9">
        <v>172</v>
      </c>
      <c r="L313" s="9">
        <v>2023</v>
      </c>
      <c r="M313" s="8" t="s">
        <v>2077</v>
      </c>
      <c r="N313" s="8" t="s">
        <v>41</v>
      </c>
      <c r="O313" s="8" t="s">
        <v>42</v>
      </c>
      <c r="P313" s="6" t="s">
        <v>55</v>
      </c>
      <c r="Q313" s="8" t="s">
        <v>75</v>
      </c>
      <c r="R313" s="10" t="s">
        <v>2078</v>
      </c>
      <c r="S313" s="11" t="s">
        <v>2079</v>
      </c>
      <c r="T313" s="6"/>
      <c r="U313" s="27" t="str">
        <f>HYPERLINK("https://media.infra-m.ru/1900/1900518/cover/1900518.jpg", "Обложка")</f>
        <v>Обложка</v>
      </c>
      <c r="V313" s="27" t="str">
        <f>HYPERLINK("https://znanium.com/catalog/product/1900518", "Ознакомиться")</f>
        <v>Ознакомиться</v>
      </c>
      <c r="W313" s="8" t="s">
        <v>180</v>
      </c>
      <c r="X313" s="6" t="s">
        <v>2080</v>
      </c>
      <c r="Y313" s="6"/>
      <c r="Z313" s="6"/>
      <c r="AA313" s="6" t="s">
        <v>741</v>
      </c>
    </row>
    <row r="314" spans="1:27" s="4" customFormat="1" ht="51.95" customHeight="1">
      <c r="A314" s="5">
        <v>0</v>
      </c>
      <c r="B314" s="6" t="s">
        <v>2081</v>
      </c>
      <c r="C314" s="7">
        <v>574.9</v>
      </c>
      <c r="D314" s="8" t="s">
        <v>2082</v>
      </c>
      <c r="E314" s="8" t="s">
        <v>2083</v>
      </c>
      <c r="F314" s="8" t="s">
        <v>2076</v>
      </c>
      <c r="G314" s="6" t="s">
        <v>119</v>
      </c>
      <c r="H314" s="6" t="s">
        <v>38</v>
      </c>
      <c r="I314" s="8" t="s">
        <v>73</v>
      </c>
      <c r="J314" s="9">
        <v>1</v>
      </c>
      <c r="K314" s="9">
        <v>144</v>
      </c>
      <c r="L314" s="9">
        <v>2022</v>
      </c>
      <c r="M314" s="8" t="s">
        <v>2084</v>
      </c>
      <c r="N314" s="8" t="s">
        <v>41</v>
      </c>
      <c r="O314" s="8" t="s">
        <v>42</v>
      </c>
      <c r="P314" s="6" t="s">
        <v>55</v>
      </c>
      <c r="Q314" s="8" t="s">
        <v>75</v>
      </c>
      <c r="R314" s="10" t="s">
        <v>2078</v>
      </c>
      <c r="S314" s="11" t="s">
        <v>2085</v>
      </c>
      <c r="T314" s="6"/>
      <c r="U314" s="27" t="str">
        <f>HYPERLINK("https://media.infra-m.ru/1865/1865778/cover/1865778.jpg", "Обложка")</f>
        <v>Обложка</v>
      </c>
      <c r="V314" s="27" t="str">
        <f>HYPERLINK("https://znanium.com/catalog/product/1900518", "Ознакомиться")</f>
        <v>Ознакомиться</v>
      </c>
      <c r="W314" s="8" t="s">
        <v>180</v>
      </c>
      <c r="X314" s="6"/>
      <c r="Y314" s="6"/>
      <c r="Z314" s="6"/>
      <c r="AA314" s="6" t="s">
        <v>346</v>
      </c>
    </row>
    <row r="315" spans="1:27" s="4" customFormat="1" ht="51.95" customHeight="1">
      <c r="A315" s="5">
        <v>0</v>
      </c>
      <c r="B315" s="6" t="s">
        <v>2086</v>
      </c>
      <c r="C315" s="13">
        <v>1084</v>
      </c>
      <c r="D315" s="8" t="s">
        <v>2087</v>
      </c>
      <c r="E315" s="8" t="s">
        <v>2088</v>
      </c>
      <c r="F315" s="8" t="s">
        <v>2089</v>
      </c>
      <c r="G315" s="6" t="s">
        <v>37</v>
      </c>
      <c r="H315" s="6" t="s">
        <v>38</v>
      </c>
      <c r="I315" s="8" t="s">
        <v>392</v>
      </c>
      <c r="J315" s="9">
        <v>1</v>
      </c>
      <c r="K315" s="9">
        <v>239</v>
      </c>
      <c r="L315" s="9">
        <v>2023</v>
      </c>
      <c r="M315" s="8" t="s">
        <v>2090</v>
      </c>
      <c r="N315" s="8" t="s">
        <v>41</v>
      </c>
      <c r="O315" s="8" t="s">
        <v>42</v>
      </c>
      <c r="P315" s="6" t="s">
        <v>394</v>
      </c>
      <c r="Q315" s="8" t="s">
        <v>123</v>
      </c>
      <c r="R315" s="10" t="s">
        <v>1953</v>
      </c>
      <c r="S315" s="11"/>
      <c r="T315" s="6"/>
      <c r="U315" s="27" t="str">
        <f>HYPERLINK("https://media.infra-m.ru/2006/2006059/cover/2006059.jpg", "Обложка")</f>
        <v>Обложка</v>
      </c>
      <c r="V315" s="27" t="str">
        <f>HYPERLINK("https://znanium.com/catalog/product/1167070", "Ознакомиться")</f>
        <v>Ознакомиться</v>
      </c>
      <c r="W315" s="8" t="s">
        <v>221</v>
      </c>
      <c r="X315" s="6"/>
      <c r="Y315" s="6"/>
      <c r="Z315" s="6"/>
      <c r="AA315" s="6" t="s">
        <v>382</v>
      </c>
    </row>
    <row r="316" spans="1:27" s="4" customFormat="1" ht="51.95" customHeight="1">
      <c r="A316" s="5">
        <v>0</v>
      </c>
      <c r="B316" s="6" t="s">
        <v>2091</v>
      </c>
      <c r="C316" s="7">
        <v>904.9</v>
      </c>
      <c r="D316" s="8" t="s">
        <v>2092</v>
      </c>
      <c r="E316" s="8" t="s">
        <v>2093</v>
      </c>
      <c r="F316" s="8" t="s">
        <v>2094</v>
      </c>
      <c r="G316" s="6" t="s">
        <v>37</v>
      </c>
      <c r="H316" s="6" t="s">
        <v>38</v>
      </c>
      <c r="I316" s="8" t="s">
        <v>53</v>
      </c>
      <c r="J316" s="9">
        <v>1</v>
      </c>
      <c r="K316" s="9">
        <v>202</v>
      </c>
      <c r="L316" s="9">
        <v>2023</v>
      </c>
      <c r="M316" s="8" t="s">
        <v>2095</v>
      </c>
      <c r="N316" s="8" t="s">
        <v>41</v>
      </c>
      <c r="O316" s="8" t="s">
        <v>42</v>
      </c>
      <c r="P316" s="6" t="s">
        <v>55</v>
      </c>
      <c r="Q316" s="8" t="s">
        <v>56</v>
      </c>
      <c r="R316" s="10" t="s">
        <v>2096</v>
      </c>
      <c r="S316" s="11" t="s">
        <v>2097</v>
      </c>
      <c r="T316" s="6"/>
      <c r="U316" s="27" t="str">
        <f>HYPERLINK("https://media.infra-m.ru/2012/2012584/cover/2012584.jpg", "Обложка")</f>
        <v>Обложка</v>
      </c>
      <c r="V316" s="27" t="str">
        <f>HYPERLINK("https://znanium.com/catalog/product/1241803", "Ознакомиться")</f>
        <v>Ознакомиться</v>
      </c>
      <c r="W316" s="8" t="s">
        <v>329</v>
      </c>
      <c r="X316" s="6"/>
      <c r="Y316" s="6"/>
      <c r="Z316" s="6" t="s">
        <v>60</v>
      </c>
      <c r="AA316" s="6" t="s">
        <v>382</v>
      </c>
    </row>
    <row r="317" spans="1:27" s="4" customFormat="1" ht="51.95" customHeight="1">
      <c r="A317" s="5">
        <v>0</v>
      </c>
      <c r="B317" s="6" t="s">
        <v>2098</v>
      </c>
      <c r="C317" s="7">
        <v>924</v>
      </c>
      <c r="D317" s="8" t="s">
        <v>2099</v>
      </c>
      <c r="E317" s="8" t="s">
        <v>2093</v>
      </c>
      <c r="F317" s="8" t="s">
        <v>2094</v>
      </c>
      <c r="G317" s="6" t="s">
        <v>37</v>
      </c>
      <c r="H317" s="6" t="s">
        <v>38</v>
      </c>
      <c r="I317" s="8" t="s">
        <v>73</v>
      </c>
      <c r="J317" s="9">
        <v>1</v>
      </c>
      <c r="K317" s="9">
        <v>202</v>
      </c>
      <c r="L317" s="9">
        <v>2024</v>
      </c>
      <c r="M317" s="8" t="s">
        <v>2100</v>
      </c>
      <c r="N317" s="8" t="s">
        <v>41</v>
      </c>
      <c r="O317" s="8" t="s">
        <v>42</v>
      </c>
      <c r="P317" s="6" t="s">
        <v>55</v>
      </c>
      <c r="Q317" s="8" t="s">
        <v>75</v>
      </c>
      <c r="R317" s="10" t="s">
        <v>2101</v>
      </c>
      <c r="S317" s="11" t="s">
        <v>2102</v>
      </c>
      <c r="T317" s="6"/>
      <c r="U317" s="27" t="str">
        <f>HYPERLINK("https://media.infra-m.ru/2102/2102179/cover/2102179.jpg", "Обложка")</f>
        <v>Обложка</v>
      </c>
      <c r="V317" s="27" t="str">
        <f>HYPERLINK("https://znanium.com/catalog/product/1087820", "Ознакомиться")</f>
        <v>Ознакомиться</v>
      </c>
      <c r="W317" s="8" t="s">
        <v>329</v>
      </c>
      <c r="X317" s="6"/>
      <c r="Y317" s="6"/>
      <c r="Z317" s="6"/>
      <c r="AA317" s="6" t="s">
        <v>114</v>
      </c>
    </row>
    <row r="318" spans="1:27" s="4" customFormat="1" ht="51.95" customHeight="1">
      <c r="A318" s="5">
        <v>0</v>
      </c>
      <c r="B318" s="6" t="s">
        <v>2103</v>
      </c>
      <c r="C318" s="7">
        <v>664.9</v>
      </c>
      <c r="D318" s="8" t="s">
        <v>2104</v>
      </c>
      <c r="E318" s="8" t="s">
        <v>2105</v>
      </c>
      <c r="F318" s="8" t="s">
        <v>2106</v>
      </c>
      <c r="G318" s="6" t="s">
        <v>92</v>
      </c>
      <c r="H318" s="6" t="s">
        <v>38</v>
      </c>
      <c r="I318" s="8" t="s">
        <v>73</v>
      </c>
      <c r="J318" s="9">
        <v>1</v>
      </c>
      <c r="K318" s="9">
        <v>174</v>
      </c>
      <c r="L318" s="9">
        <v>2022</v>
      </c>
      <c r="M318" s="8" t="s">
        <v>2107</v>
      </c>
      <c r="N318" s="8" t="s">
        <v>41</v>
      </c>
      <c r="O318" s="8" t="s">
        <v>42</v>
      </c>
      <c r="P318" s="6" t="s">
        <v>43</v>
      </c>
      <c r="Q318" s="8" t="s">
        <v>75</v>
      </c>
      <c r="R318" s="10" t="s">
        <v>2108</v>
      </c>
      <c r="S318" s="11" t="s">
        <v>2109</v>
      </c>
      <c r="T318" s="6"/>
      <c r="U318" s="27" t="str">
        <f>HYPERLINK("https://media.infra-m.ru/1836/1836717/cover/1836717.jpg", "Обложка")</f>
        <v>Обложка</v>
      </c>
      <c r="V318" s="27" t="str">
        <f>HYPERLINK("https://znanium.com/catalog/product/1836717", "Ознакомиться")</f>
        <v>Ознакомиться</v>
      </c>
      <c r="W318" s="8" t="s">
        <v>404</v>
      </c>
      <c r="X318" s="6"/>
      <c r="Y318" s="6"/>
      <c r="Z318" s="6"/>
      <c r="AA318" s="6" t="s">
        <v>78</v>
      </c>
    </row>
    <row r="319" spans="1:27" s="4" customFormat="1" ht="51.95" customHeight="1">
      <c r="A319" s="5">
        <v>0</v>
      </c>
      <c r="B319" s="6" t="s">
        <v>2110</v>
      </c>
      <c r="C319" s="7">
        <v>694.9</v>
      </c>
      <c r="D319" s="8" t="s">
        <v>2111</v>
      </c>
      <c r="E319" s="8" t="s">
        <v>2112</v>
      </c>
      <c r="F319" s="8" t="s">
        <v>2113</v>
      </c>
      <c r="G319" s="6" t="s">
        <v>92</v>
      </c>
      <c r="H319" s="6" t="s">
        <v>38</v>
      </c>
      <c r="I319" s="8" t="s">
        <v>897</v>
      </c>
      <c r="J319" s="9">
        <v>1</v>
      </c>
      <c r="K319" s="9">
        <v>205</v>
      </c>
      <c r="L319" s="9">
        <v>2019</v>
      </c>
      <c r="M319" s="8" t="s">
        <v>2114</v>
      </c>
      <c r="N319" s="8" t="s">
        <v>41</v>
      </c>
      <c r="O319" s="8" t="s">
        <v>42</v>
      </c>
      <c r="P319" s="6" t="s">
        <v>122</v>
      </c>
      <c r="Q319" s="8" t="s">
        <v>123</v>
      </c>
      <c r="R319" s="10" t="s">
        <v>2115</v>
      </c>
      <c r="S319" s="11"/>
      <c r="T319" s="6"/>
      <c r="U319" s="27" t="str">
        <f>HYPERLINK("https://media.infra-m.ru/1010/1010811/cover/1010811.jpg", "Обложка")</f>
        <v>Обложка</v>
      </c>
      <c r="V319" s="27" t="str">
        <f>HYPERLINK("https://znanium.com/catalog/product/1010811", "Ознакомиться")</f>
        <v>Ознакомиться</v>
      </c>
      <c r="W319" s="8" t="s">
        <v>125</v>
      </c>
      <c r="X319" s="6"/>
      <c r="Y319" s="6"/>
      <c r="Z319" s="6"/>
      <c r="AA319" s="6" t="s">
        <v>114</v>
      </c>
    </row>
    <row r="320" spans="1:27" s="4" customFormat="1" ht="42" customHeight="1">
      <c r="A320" s="5">
        <v>0</v>
      </c>
      <c r="B320" s="6" t="s">
        <v>2116</v>
      </c>
      <c r="C320" s="7">
        <v>850</v>
      </c>
      <c r="D320" s="8" t="s">
        <v>2117</v>
      </c>
      <c r="E320" s="8" t="s">
        <v>2118</v>
      </c>
      <c r="F320" s="8" t="s">
        <v>2119</v>
      </c>
      <c r="G320" s="6" t="s">
        <v>92</v>
      </c>
      <c r="H320" s="6" t="s">
        <v>38</v>
      </c>
      <c r="I320" s="8" t="s">
        <v>120</v>
      </c>
      <c r="J320" s="9">
        <v>1</v>
      </c>
      <c r="K320" s="9">
        <v>173</v>
      </c>
      <c r="L320" s="9">
        <v>2023</v>
      </c>
      <c r="M320" s="8" t="s">
        <v>2120</v>
      </c>
      <c r="N320" s="8" t="s">
        <v>41</v>
      </c>
      <c r="O320" s="8" t="s">
        <v>42</v>
      </c>
      <c r="P320" s="6" t="s">
        <v>122</v>
      </c>
      <c r="Q320" s="8" t="s">
        <v>123</v>
      </c>
      <c r="R320" s="10" t="s">
        <v>2121</v>
      </c>
      <c r="S320" s="11"/>
      <c r="T320" s="6"/>
      <c r="U320" s="27" t="str">
        <f>HYPERLINK("https://media.infra-m.ru/2009/2009650/cover/2009650.jpg", "Обложка")</f>
        <v>Обложка</v>
      </c>
      <c r="V320" s="27" t="str">
        <f>HYPERLINK("https://znanium.com/catalog/product/2009650", "Ознакомиться")</f>
        <v>Ознакомиться</v>
      </c>
      <c r="W320" s="8" t="s">
        <v>665</v>
      </c>
      <c r="X320" s="6" t="s">
        <v>1928</v>
      </c>
      <c r="Y320" s="6"/>
      <c r="Z320" s="6"/>
      <c r="AA320" s="6" t="s">
        <v>461</v>
      </c>
    </row>
    <row r="321" spans="1:27" s="4" customFormat="1" ht="42" customHeight="1">
      <c r="A321" s="5">
        <v>0</v>
      </c>
      <c r="B321" s="6" t="s">
        <v>2122</v>
      </c>
      <c r="C321" s="7">
        <v>674.9</v>
      </c>
      <c r="D321" s="8" t="s">
        <v>2123</v>
      </c>
      <c r="E321" s="8" t="s">
        <v>2124</v>
      </c>
      <c r="F321" s="8" t="s">
        <v>2125</v>
      </c>
      <c r="G321" s="6" t="s">
        <v>119</v>
      </c>
      <c r="H321" s="6" t="s">
        <v>52</v>
      </c>
      <c r="I321" s="8" t="s">
        <v>897</v>
      </c>
      <c r="J321" s="9">
        <v>1</v>
      </c>
      <c r="K321" s="9">
        <v>216</v>
      </c>
      <c r="L321" s="9">
        <v>2018</v>
      </c>
      <c r="M321" s="8" t="s">
        <v>2126</v>
      </c>
      <c r="N321" s="8" t="s">
        <v>41</v>
      </c>
      <c r="O321" s="8" t="s">
        <v>42</v>
      </c>
      <c r="P321" s="6" t="s">
        <v>122</v>
      </c>
      <c r="Q321" s="8" t="s">
        <v>123</v>
      </c>
      <c r="R321" s="10" t="s">
        <v>2127</v>
      </c>
      <c r="S321" s="11"/>
      <c r="T321" s="6"/>
      <c r="U321" s="27" t="str">
        <f>HYPERLINK("https://media.infra-m.ru/0959/0959881/cover/959881.jpg", "Обложка")</f>
        <v>Обложка</v>
      </c>
      <c r="V321" s="27" t="str">
        <f>HYPERLINK("https://znanium.com/catalog/product/959881", "Ознакомиться")</f>
        <v>Ознакомиться</v>
      </c>
      <c r="W321" s="8" t="s">
        <v>46</v>
      </c>
      <c r="X321" s="6"/>
      <c r="Y321" s="6"/>
      <c r="Z321" s="6"/>
      <c r="AA321" s="6" t="s">
        <v>106</v>
      </c>
    </row>
    <row r="322" spans="1:27" s="4" customFormat="1" ht="51.95" customHeight="1">
      <c r="A322" s="5">
        <v>0</v>
      </c>
      <c r="B322" s="6" t="s">
        <v>2128</v>
      </c>
      <c r="C322" s="13">
        <v>1250</v>
      </c>
      <c r="D322" s="8" t="s">
        <v>2129</v>
      </c>
      <c r="E322" s="8" t="s">
        <v>2130</v>
      </c>
      <c r="F322" s="8" t="s">
        <v>2131</v>
      </c>
      <c r="G322" s="6" t="s">
        <v>37</v>
      </c>
      <c r="H322" s="6" t="s">
        <v>38</v>
      </c>
      <c r="I322" s="8" t="s">
        <v>73</v>
      </c>
      <c r="J322" s="9">
        <v>1</v>
      </c>
      <c r="K322" s="9">
        <v>298</v>
      </c>
      <c r="L322" s="9">
        <v>2023</v>
      </c>
      <c r="M322" s="8" t="s">
        <v>2132</v>
      </c>
      <c r="N322" s="8" t="s">
        <v>41</v>
      </c>
      <c r="O322" s="8" t="s">
        <v>42</v>
      </c>
      <c r="P322" s="6" t="s">
        <v>55</v>
      </c>
      <c r="Q322" s="8" t="s">
        <v>75</v>
      </c>
      <c r="R322" s="10" t="s">
        <v>2133</v>
      </c>
      <c r="S322" s="11" t="s">
        <v>2134</v>
      </c>
      <c r="T322" s="6"/>
      <c r="U322" s="27" t="str">
        <f>HYPERLINK("https://media.infra-m.ru/1878/1878641/cover/1878641.jpg", "Обложка")</f>
        <v>Обложка</v>
      </c>
      <c r="V322" s="27" t="str">
        <f>HYPERLINK("https://znanium.com/catalog/product/1878641", "Ознакомиться")</f>
        <v>Ознакомиться</v>
      </c>
      <c r="W322" s="8" t="s">
        <v>2135</v>
      </c>
      <c r="X322" s="6"/>
      <c r="Y322" s="6"/>
      <c r="Z322" s="6"/>
      <c r="AA322" s="6" t="s">
        <v>299</v>
      </c>
    </row>
    <row r="323" spans="1:27" s="4" customFormat="1" ht="42" customHeight="1">
      <c r="A323" s="5">
        <v>0</v>
      </c>
      <c r="B323" s="6" t="s">
        <v>2136</v>
      </c>
      <c r="C323" s="7">
        <v>700</v>
      </c>
      <c r="D323" s="8" t="s">
        <v>2137</v>
      </c>
      <c r="E323" s="8" t="s">
        <v>2138</v>
      </c>
      <c r="F323" s="8" t="s">
        <v>2139</v>
      </c>
      <c r="G323" s="6" t="s">
        <v>119</v>
      </c>
      <c r="H323" s="6" t="s">
        <v>131</v>
      </c>
      <c r="I323" s="8" t="s">
        <v>120</v>
      </c>
      <c r="J323" s="9">
        <v>1</v>
      </c>
      <c r="K323" s="9">
        <v>192</v>
      </c>
      <c r="L323" s="9">
        <v>2019</v>
      </c>
      <c r="M323" s="8" t="s">
        <v>2140</v>
      </c>
      <c r="N323" s="8" t="s">
        <v>41</v>
      </c>
      <c r="O323" s="8" t="s">
        <v>42</v>
      </c>
      <c r="P323" s="6" t="s">
        <v>122</v>
      </c>
      <c r="Q323" s="8" t="s">
        <v>123</v>
      </c>
      <c r="R323" s="10" t="s">
        <v>2141</v>
      </c>
      <c r="S323" s="11"/>
      <c r="T323" s="6"/>
      <c r="U323" s="27" t="str">
        <f>HYPERLINK("https://media.infra-m.ru/1010/1010774/cover/1010774.jpg", "Обложка")</f>
        <v>Обложка</v>
      </c>
      <c r="V323" s="27" t="str">
        <f>HYPERLINK("https://znanium.com/catalog/product/1010774", "Ознакомиться")</f>
        <v>Ознакомиться</v>
      </c>
      <c r="W323" s="8" t="s">
        <v>125</v>
      </c>
      <c r="X323" s="6"/>
      <c r="Y323" s="6"/>
      <c r="Z323" s="6"/>
      <c r="AA323" s="6" t="s">
        <v>114</v>
      </c>
    </row>
    <row r="324" spans="1:27" s="4" customFormat="1" ht="51.95" customHeight="1">
      <c r="A324" s="5">
        <v>0</v>
      </c>
      <c r="B324" s="6" t="s">
        <v>2142</v>
      </c>
      <c r="C324" s="7">
        <v>640</v>
      </c>
      <c r="D324" s="8" t="s">
        <v>2143</v>
      </c>
      <c r="E324" s="8" t="s">
        <v>2144</v>
      </c>
      <c r="F324" s="8" t="s">
        <v>2145</v>
      </c>
      <c r="G324" s="6" t="s">
        <v>119</v>
      </c>
      <c r="H324" s="6" t="s">
        <v>38</v>
      </c>
      <c r="I324" s="8" t="s">
        <v>120</v>
      </c>
      <c r="J324" s="9">
        <v>1</v>
      </c>
      <c r="K324" s="9">
        <v>142</v>
      </c>
      <c r="L324" s="9">
        <v>2023</v>
      </c>
      <c r="M324" s="8" t="s">
        <v>2146</v>
      </c>
      <c r="N324" s="8" t="s">
        <v>41</v>
      </c>
      <c r="O324" s="8" t="s">
        <v>42</v>
      </c>
      <c r="P324" s="6" t="s">
        <v>122</v>
      </c>
      <c r="Q324" s="8" t="s">
        <v>123</v>
      </c>
      <c r="R324" s="10" t="s">
        <v>2147</v>
      </c>
      <c r="S324" s="11"/>
      <c r="T324" s="6"/>
      <c r="U324" s="27" t="str">
        <f>HYPERLINK("https://media.infra-m.ru/1870/1870696/cover/1870696.jpg", "Обложка")</f>
        <v>Обложка</v>
      </c>
      <c r="V324" s="27" t="str">
        <f>HYPERLINK("https://znanium.com/catalog/product/1870696", "Ознакомиться")</f>
        <v>Ознакомиться</v>
      </c>
      <c r="W324" s="8" t="s">
        <v>86</v>
      </c>
      <c r="X324" s="6"/>
      <c r="Y324" s="6"/>
      <c r="Z324" s="6"/>
      <c r="AA324" s="6" t="s">
        <v>114</v>
      </c>
    </row>
    <row r="325" spans="1:27" s="4" customFormat="1" ht="51.95" customHeight="1">
      <c r="A325" s="5">
        <v>0</v>
      </c>
      <c r="B325" s="6" t="s">
        <v>2148</v>
      </c>
      <c r="C325" s="13">
        <v>1050</v>
      </c>
      <c r="D325" s="8" t="s">
        <v>2149</v>
      </c>
      <c r="E325" s="8" t="s">
        <v>2150</v>
      </c>
      <c r="F325" s="8" t="s">
        <v>2151</v>
      </c>
      <c r="G325" s="6" t="s">
        <v>37</v>
      </c>
      <c r="H325" s="6" t="s">
        <v>38</v>
      </c>
      <c r="I325" s="8" t="s">
        <v>132</v>
      </c>
      <c r="J325" s="9">
        <v>1</v>
      </c>
      <c r="K325" s="9">
        <v>231</v>
      </c>
      <c r="L325" s="9">
        <v>2023</v>
      </c>
      <c r="M325" s="8" t="s">
        <v>2152</v>
      </c>
      <c r="N325" s="8" t="s">
        <v>41</v>
      </c>
      <c r="O325" s="8" t="s">
        <v>42</v>
      </c>
      <c r="P325" s="6" t="s">
        <v>43</v>
      </c>
      <c r="Q325" s="8" t="s">
        <v>75</v>
      </c>
      <c r="R325" s="10" t="s">
        <v>2153</v>
      </c>
      <c r="S325" s="11" t="s">
        <v>2154</v>
      </c>
      <c r="T325" s="6" t="s">
        <v>59</v>
      </c>
      <c r="U325" s="27" t="str">
        <f>HYPERLINK("https://media.infra-m.ru/2041/2041699/cover/2041699.jpg", "Обложка")</f>
        <v>Обложка</v>
      </c>
      <c r="V325" s="27" t="str">
        <f>HYPERLINK("https://znanium.com/catalog/product/2041699", "Ознакомиться")</f>
        <v>Ознакомиться</v>
      </c>
      <c r="W325" s="8" t="s">
        <v>2155</v>
      </c>
      <c r="X325" s="6"/>
      <c r="Y325" s="6"/>
      <c r="Z325" s="6"/>
      <c r="AA325" s="6" t="s">
        <v>299</v>
      </c>
    </row>
    <row r="326" spans="1:27" s="4" customFormat="1" ht="44.1" customHeight="1">
      <c r="A326" s="5">
        <v>0</v>
      </c>
      <c r="B326" s="6" t="s">
        <v>2156</v>
      </c>
      <c r="C326" s="13">
        <v>2430</v>
      </c>
      <c r="D326" s="8" t="s">
        <v>2157</v>
      </c>
      <c r="E326" s="8" t="s">
        <v>2158</v>
      </c>
      <c r="F326" s="8" t="s">
        <v>2159</v>
      </c>
      <c r="G326" s="6" t="s">
        <v>92</v>
      </c>
      <c r="H326" s="6" t="s">
        <v>93</v>
      </c>
      <c r="I326" s="8" t="s">
        <v>351</v>
      </c>
      <c r="J326" s="9">
        <v>1</v>
      </c>
      <c r="K326" s="9">
        <v>528</v>
      </c>
      <c r="L326" s="9">
        <v>2024</v>
      </c>
      <c r="M326" s="8" t="s">
        <v>304</v>
      </c>
      <c r="N326" s="8" t="s">
        <v>41</v>
      </c>
      <c r="O326" s="8" t="s">
        <v>42</v>
      </c>
      <c r="P326" s="6" t="s">
        <v>43</v>
      </c>
      <c r="Q326" s="8" t="s">
        <v>75</v>
      </c>
      <c r="R326" s="10" t="s">
        <v>2160</v>
      </c>
      <c r="S326" s="11"/>
      <c r="T326" s="6"/>
      <c r="U326" s="27" t="str">
        <f>HYPERLINK("https://media.infra-m.ru/2079/2079694/cover/2079694.jpg", "Обложка")</f>
        <v>Обложка</v>
      </c>
      <c r="V326" s="27" t="str">
        <f>HYPERLINK("https://znanium.com/catalog/product/1233293", "Ознакомиться")</f>
        <v>Ознакомиться</v>
      </c>
      <c r="W326" s="8" t="s">
        <v>762</v>
      </c>
      <c r="X326" s="6"/>
      <c r="Y326" s="6"/>
      <c r="Z326" s="6"/>
      <c r="AA326" s="6" t="s">
        <v>106</v>
      </c>
    </row>
    <row r="327" spans="1:27" s="4" customFormat="1" ht="21.95" customHeight="1">
      <c r="A327" s="5">
        <v>0</v>
      </c>
      <c r="B327" s="6" t="s">
        <v>2161</v>
      </c>
      <c r="C327" s="7">
        <v>590</v>
      </c>
      <c r="D327" s="8" t="s">
        <v>2162</v>
      </c>
      <c r="E327" s="8" t="s">
        <v>2163</v>
      </c>
      <c r="F327" s="8" t="s">
        <v>2164</v>
      </c>
      <c r="G327" s="6" t="s">
        <v>92</v>
      </c>
      <c r="H327" s="6" t="s">
        <v>209</v>
      </c>
      <c r="I327" s="8" t="s">
        <v>257</v>
      </c>
      <c r="J327" s="9">
        <v>1</v>
      </c>
      <c r="K327" s="9">
        <v>184</v>
      </c>
      <c r="L327" s="9">
        <v>2018</v>
      </c>
      <c r="M327" s="8" t="s">
        <v>2165</v>
      </c>
      <c r="N327" s="8" t="s">
        <v>41</v>
      </c>
      <c r="O327" s="8" t="s">
        <v>42</v>
      </c>
      <c r="P327" s="6" t="s">
        <v>43</v>
      </c>
      <c r="Q327" s="8" t="s">
        <v>75</v>
      </c>
      <c r="R327" s="10" t="s">
        <v>2166</v>
      </c>
      <c r="S327" s="11"/>
      <c r="T327" s="6"/>
      <c r="U327" s="12"/>
      <c r="V327" s="27" t="str">
        <f>HYPERLINK("https://znanium.com/catalog/product/1843572", "Ознакомиться")</f>
        <v>Ознакомиться</v>
      </c>
      <c r="W327" s="8" t="s">
        <v>2167</v>
      </c>
      <c r="X327" s="6"/>
      <c r="Y327" s="6"/>
      <c r="Z327" s="6"/>
      <c r="AA327" s="6" t="s">
        <v>61</v>
      </c>
    </row>
    <row r="328" spans="1:27" s="4" customFormat="1" ht="42" customHeight="1">
      <c r="A328" s="5">
        <v>0</v>
      </c>
      <c r="B328" s="6" t="s">
        <v>2168</v>
      </c>
      <c r="C328" s="7">
        <v>844.9</v>
      </c>
      <c r="D328" s="8" t="s">
        <v>2169</v>
      </c>
      <c r="E328" s="8" t="s">
        <v>2170</v>
      </c>
      <c r="F328" s="8" t="s">
        <v>2171</v>
      </c>
      <c r="G328" s="6" t="s">
        <v>37</v>
      </c>
      <c r="H328" s="6" t="s">
        <v>38</v>
      </c>
      <c r="I328" s="8" t="s">
        <v>120</v>
      </c>
      <c r="J328" s="9">
        <v>1</v>
      </c>
      <c r="K328" s="9">
        <v>229</v>
      </c>
      <c r="L328" s="9">
        <v>2021</v>
      </c>
      <c r="M328" s="8" t="s">
        <v>2172</v>
      </c>
      <c r="N328" s="8" t="s">
        <v>41</v>
      </c>
      <c r="O328" s="8" t="s">
        <v>42</v>
      </c>
      <c r="P328" s="6" t="s">
        <v>122</v>
      </c>
      <c r="Q328" s="8" t="s">
        <v>123</v>
      </c>
      <c r="R328" s="10" t="s">
        <v>2173</v>
      </c>
      <c r="S328" s="11"/>
      <c r="T328" s="6"/>
      <c r="U328" s="27" t="str">
        <f>HYPERLINK("https://media.infra-m.ru/1229/1229807/cover/1229807.jpg", "Обложка")</f>
        <v>Обложка</v>
      </c>
      <c r="V328" s="27" t="str">
        <f>HYPERLINK("https://znanium.com/catalog/product/1229807", "Ознакомиться")</f>
        <v>Ознакомиться</v>
      </c>
      <c r="W328" s="8" t="s">
        <v>2174</v>
      </c>
      <c r="X328" s="6"/>
      <c r="Y328" s="6"/>
      <c r="Z328" s="6"/>
      <c r="AA328" s="6" t="s">
        <v>222</v>
      </c>
    </row>
    <row r="329" spans="1:27" s="4" customFormat="1" ht="51.95" customHeight="1">
      <c r="A329" s="5">
        <v>0</v>
      </c>
      <c r="B329" s="6" t="s">
        <v>2175</v>
      </c>
      <c r="C329" s="13">
        <v>1384</v>
      </c>
      <c r="D329" s="8" t="s">
        <v>2176</v>
      </c>
      <c r="E329" s="8" t="s">
        <v>2177</v>
      </c>
      <c r="F329" s="8" t="s">
        <v>2178</v>
      </c>
      <c r="G329" s="6" t="s">
        <v>92</v>
      </c>
      <c r="H329" s="6" t="s">
        <v>52</v>
      </c>
      <c r="I329" s="8" t="s">
        <v>132</v>
      </c>
      <c r="J329" s="9">
        <v>1</v>
      </c>
      <c r="K329" s="9">
        <v>302</v>
      </c>
      <c r="L329" s="9">
        <v>2024</v>
      </c>
      <c r="M329" s="8" t="s">
        <v>2179</v>
      </c>
      <c r="N329" s="8" t="s">
        <v>41</v>
      </c>
      <c r="O329" s="8" t="s">
        <v>42</v>
      </c>
      <c r="P329" s="6" t="s">
        <v>43</v>
      </c>
      <c r="Q329" s="8" t="s">
        <v>286</v>
      </c>
      <c r="R329" s="10" t="s">
        <v>2180</v>
      </c>
      <c r="S329" s="11" t="s">
        <v>2181</v>
      </c>
      <c r="T329" s="6"/>
      <c r="U329" s="27" t="str">
        <f>HYPERLINK("https://media.infra-m.ru/2076/2076018/cover/2076018.jpg", "Обложка")</f>
        <v>Обложка</v>
      </c>
      <c r="V329" s="27" t="str">
        <f>HYPERLINK("https://znanium.com/catalog/product/1310542", "Ознакомиться")</f>
        <v>Ознакомиться</v>
      </c>
      <c r="W329" s="8" t="s">
        <v>69</v>
      </c>
      <c r="X329" s="6"/>
      <c r="Y329" s="6"/>
      <c r="Z329" s="6"/>
      <c r="AA329" s="6" t="s">
        <v>150</v>
      </c>
    </row>
    <row r="330" spans="1:27" s="4" customFormat="1" ht="51.95" customHeight="1">
      <c r="A330" s="5">
        <v>0</v>
      </c>
      <c r="B330" s="6" t="s">
        <v>2182</v>
      </c>
      <c r="C330" s="7">
        <v>754.9</v>
      </c>
      <c r="D330" s="8" t="s">
        <v>2183</v>
      </c>
      <c r="E330" s="8" t="s">
        <v>2184</v>
      </c>
      <c r="F330" s="8" t="s">
        <v>2185</v>
      </c>
      <c r="G330" s="6" t="s">
        <v>92</v>
      </c>
      <c r="H330" s="6" t="s">
        <v>209</v>
      </c>
      <c r="I330" s="8" t="s">
        <v>73</v>
      </c>
      <c r="J330" s="9">
        <v>1</v>
      </c>
      <c r="K330" s="9">
        <v>235</v>
      </c>
      <c r="L330" s="9">
        <v>2019</v>
      </c>
      <c r="M330" s="8" t="s">
        <v>2186</v>
      </c>
      <c r="N330" s="8" t="s">
        <v>41</v>
      </c>
      <c r="O330" s="8" t="s">
        <v>42</v>
      </c>
      <c r="P330" s="6" t="s">
        <v>55</v>
      </c>
      <c r="Q330" s="8" t="s">
        <v>75</v>
      </c>
      <c r="R330" s="10" t="s">
        <v>608</v>
      </c>
      <c r="S330" s="11" t="s">
        <v>2187</v>
      </c>
      <c r="T330" s="6"/>
      <c r="U330" s="27" t="str">
        <f>HYPERLINK("https://media.infra-m.ru/1034/1034487/cover/1034487.jpg", "Обложка")</f>
        <v>Обложка</v>
      </c>
      <c r="V330" s="27" t="str">
        <f>HYPERLINK("https://znanium.com/catalog/product/1034487", "Ознакомиться")</f>
        <v>Ознакомиться</v>
      </c>
      <c r="W330" s="8" t="s">
        <v>1562</v>
      </c>
      <c r="X330" s="6"/>
      <c r="Y330" s="6"/>
      <c r="Z330" s="6"/>
      <c r="AA330" s="6" t="s">
        <v>114</v>
      </c>
    </row>
    <row r="331" spans="1:27" s="4" customFormat="1" ht="51.95" customHeight="1">
      <c r="A331" s="5">
        <v>0</v>
      </c>
      <c r="B331" s="6" t="s">
        <v>2188</v>
      </c>
      <c r="C331" s="7">
        <v>604.9</v>
      </c>
      <c r="D331" s="8" t="s">
        <v>2189</v>
      </c>
      <c r="E331" s="8" t="s">
        <v>2190</v>
      </c>
      <c r="F331" s="8" t="s">
        <v>2191</v>
      </c>
      <c r="G331" s="6" t="s">
        <v>119</v>
      </c>
      <c r="H331" s="6" t="s">
        <v>38</v>
      </c>
      <c r="I331" s="8" t="s">
        <v>73</v>
      </c>
      <c r="J331" s="9">
        <v>1</v>
      </c>
      <c r="K331" s="9">
        <v>128</v>
      </c>
      <c r="L331" s="9">
        <v>2023</v>
      </c>
      <c r="M331" s="8" t="s">
        <v>2192</v>
      </c>
      <c r="N331" s="8" t="s">
        <v>41</v>
      </c>
      <c r="O331" s="8" t="s">
        <v>42</v>
      </c>
      <c r="P331" s="6" t="s">
        <v>43</v>
      </c>
      <c r="Q331" s="8" t="s">
        <v>75</v>
      </c>
      <c r="R331" s="10" t="s">
        <v>2193</v>
      </c>
      <c r="S331" s="11" t="s">
        <v>1457</v>
      </c>
      <c r="T331" s="6"/>
      <c r="U331" s="27" t="str">
        <f>HYPERLINK("https://media.infra-m.ru/2013/2013646/cover/2013646.jpg", "Обложка")</f>
        <v>Обложка</v>
      </c>
      <c r="V331" s="27" t="str">
        <f>HYPERLINK("https://znanium.com/catalog/product/1840483", "Ознакомиться")</f>
        <v>Ознакомиться</v>
      </c>
      <c r="W331" s="8" t="s">
        <v>195</v>
      </c>
      <c r="X331" s="6"/>
      <c r="Y331" s="6"/>
      <c r="Z331" s="6"/>
      <c r="AA331" s="6" t="s">
        <v>47</v>
      </c>
    </row>
    <row r="332" spans="1:27" s="4" customFormat="1" ht="51.95" customHeight="1">
      <c r="A332" s="5">
        <v>0</v>
      </c>
      <c r="B332" s="6" t="s">
        <v>2194</v>
      </c>
      <c r="C332" s="7">
        <v>690</v>
      </c>
      <c r="D332" s="8" t="s">
        <v>2195</v>
      </c>
      <c r="E332" s="8" t="s">
        <v>2196</v>
      </c>
      <c r="F332" s="8" t="s">
        <v>2197</v>
      </c>
      <c r="G332" s="6" t="s">
        <v>119</v>
      </c>
      <c r="H332" s="6" t="s">
        <v>38</v>
      </c>
      <c r="I332" s="8" t="s">
        <v>73</v>
      </c>
      <c r="J332" s="9">
        <v>1</v>
      </c>
      <c r="K332" s="9">
        <v>135</v>
      </c>
      <c r="L332" s="9">
        <v>2024</v>
      </c>
      <c r="M332" s="8" t="s">
        <v>2198</v>
      </c>
      <c r="N332" s="8" t="s">
        <v>41</v>
      </c>
      <c r="O332" s="8" t="s">
        <v>42</v>
      </c>
      <c r="P332" s="6" t="s">
        <v>43</v>
      </c>
      <c r="Q332" s="8" t="s">
        <v>75</v>
      </c>
      <c r="R332" s="10" t="s">
        <v>2199</v>
      </c>
      <c r="S332" s="11" t="s">
        <v>2200</v>
      </c>
      <c r="T332" s="6"/>
      <c r="U332" s="27" t="str">
        <f>HYPERLINK("https://media.infra-m.ru/2114/2114826/cover/2114826.jpg", "Обложка")</f>
        <v>Обложка</v>
      </c>
      <c r="V332" s="27" t="str">
        <f>HYPERLINK("https://znanium.com/catalog/product/2114826", "Ознакомиться")</f>
        <v>Ознакомиться</v>
      </c>
      <c r="W332" s="8" t="s">
        <v>2201</v>
      </c>
      <c r="X332" s="6"/>
      <c r="Y332" s="6"/>
      <c r="Z332" s="6"/>
      <c r="AA332" s="6" t="s">
        <v>346</v>
      </c>
    </row>
    <row r="333" spans="1:27" s="4" customFormat="1" ht="42" customHeight="1">
      <c r="A333" s="5">
        <v>0</v>
      </c>
      <c r="B333" s="6" t="s">
        <v>2202</v>
      </c>
      <c r="C333" s="7">
        <v>434.9</v>
      </c>
      <c r="D333" s="8" t="s">
        <v>2203</v>
      </c>
      <c r="E333" s="8" t="s">
        <v>2204</v>
      </c>
      <c r="F333" s="8" t="s">
        <v>868</v>
      </c>
      <c r="G333" s="6" t="s">
        <v>119</v>
      </c>
      <c r="H333" s="6" t="s">
        <v>52</v>
      </c>
      <c r="I333" s="8"/>
      <c r="J333" s="9">
        <v>1</v>
      </c>
      <c r="K333" s="9">
        <v>96</v>
      </c>
      <c r="L333" s="9">
        <v>2023</v>
      </c>
      <c r="M333" s="8" t="s">
        <v>2205</v>
      </c>
      <c r="N333" s="8" t="s">
        <v>41</v>
      </c>
      <c r="O333" s="8" t="s">
        <v>42</v>
      </c>
      <c r="P333" s="6" t="s">
        <v>43</v>
      </c>
      <c r="Q333" s="8" t="s">
        <v>75</v>
      </c>
      <c r="R333" s="10" t="s">
        <v>2206</v>
      </c>
      <c r="S333" s="11"/>
      <c r="T333" s="6"/>
      <c r="U333" s="27" t="str">
        <f>HYPERLINK("https://media.infra-m.ru/1911/1911790/cover/1911790.jpg", "Обложка")</f>
        <v>Обложка</v>
      </c>
      <c r="V333" s="27" t="str">
        <f>HYPERLINK("https://znanium.com/catalog/product/982629", "Ознакомиться")</f>
        <v>Ознакомиться</v>
      </c>
      <c r="W333" s="8" t="s">
        <v>870</v>
      </c>
      <c r="X333" s="6"/>
      <c r="Y333" s="6"/>
      <c r="Z333" s="6"/>
      <c r="AA333" s="6" t="s">
        <v>106</v>
      </c>
    </row>
    <row r="334" spans="1:27" s="4" customFormat="1" ht="51.95" customHeight="1">
      <c r="A334" s="5">
        <v>0</v>
      </c>
      <c r="B334" s="6" t="s">
        <v>2207</v>
      </c>
      <c r="C334" s="7">
        <v>484.9</v>
      </c>
      <c r="D334" s="8" t="s">
        <v>2208</v>
      </c>
      <c r="E334" s="8" t="s">
        <v>2209</v>
      </c>
      <c r="F334" s="8" t="s">
        <v>2210</v>
      </c>
      <c r="G334" s="6" t="s">
        <v>119</v>
      </c>
      <c r="H334" s="6" t="s">
        <v>38</v>
      </c>
      <c r="I334" s="8" t="s">
        <v>73</v>
      </c>
      <c r="J334" s="9">
        <v>1</v>
      </c>
      <c r="K334" s="9">
        <v>107</v>
      </c>
      <c r="L334" s="9">
        <v>2023</v>
      </c>
      <c r="M334" s="8" t="s">
        <v>2211</v>
      </c>
      <c r="N334" s="8" t="s">
        <v>41</v>
      </c>
      <c r="O334" s="8" t="s">
        <v>42</v>
      </c>
      <c r="P334" s="6" t="s">
        <v>43</v>
      </c>
      <c r="Q334" s="8" t="s">
        <v>75</v>
      </c>
      <c r="R334" s="10" t="s">
        <v>1003</v>
      </c>
      <c r="S334" s="11" t="s">
        <v>2212</v>
      </c>
      <c r="T334" s="6"/>
      <c r="U334" s="27" t="str">
        <f>HYPERLINK("https://media.infra-m.ru/1981/1981633/cover/1981633.jpg", "Обложка")</f>
        <v>Обложка</v>
      </c>
      <c r="V334" s="27" t="str">
        <f>HYPERLINK("https://znanium.com/catalog/product/1819261", "Ознакомиться")</f>
        <v>Ознакомиться</v>
      </c>
      <c r="W334" s="8" t="s">
        <v>125</v>
      </c>
      <c r="X334" s="6"/>
      <c r="Y334" s="6"/>
      <c r="Z334" s="6"/>
      <c r="AA334" s="6" t="s">
        <v>213</v>
      </c>
    </row>
    <row r="335" spans="1:27" s="4" customFormat="1" ht="42" customHeight="1">
      <c r="A335" s="5">
        <v>0</v>
      </c>
      <c r="B335" s="6" t="s">
        <v>2213</v>
      </c>
      <c r="C335" s="13">
        <v>1594</v>
      </c>
      <c r="D335" s="8" t="s">
        <v>2214</v>
      </c>
      <c r="E335" s="8" t="s">
        <v>2215</v>
      </c>
      <c r="F335" s="8" t="s">
        <v>2216</v>
      </c>
      <c r="G335" s="6" t="s">
        <v>92</v>
      </c>
      <c r="H335" s="6" t="s">
        <v>52</v>
      </c>
      <c r="I335" s="8" t="s">
        <v>2217</v>
      </c>
      <c r="J335" s="9">
        <v>1</v>
      </c>
      <c r="K335" s="9">
        <v>316</v>
      </c>
      <c r="L335" s="9">
        <v>2023</v>
      </c>
      <c r="M335" s="8" t="s">
        <v>2218</v>
      </c>
      <c r="N335" s="8" t="s">
        <v>41</v>
      </c>
      <c r="O335" s="8" t="s">
        <v>42</v>
      </c>
      <c r="P335" s="6" t="s">
        <v>55</v>
      </c>
      <c r="Q335" s="8" t="s">
        <v>44</v>
      </c>
      <c r="R335" s="10" t="s">
        <v>2219</v>
      </c>
      <c r="S335" s="11"/>
      <c r="T335" s="6" t="s">
        <v>59</v>
      </c>
      <c r="U335" s="27" t="str">
        <f>HYPERLINK("https://media.infra-m.ru/1892/1892037/cover/1892037.jpg", "Обложка")</f>
        <v>Обложка</v>
      </c>
      <c r="V335" s="27" t="str">
        <f>HYPERLINK("https://znanium.com/catalog/product/1153779", "Ознакомиться")</f>
        <v>Ознакомиться</v>
      </c>
      <c r="W335" s="8" t="s">
        <v>46</v>
      </c>
      <c r="X335" s="6"/>
      <c r="Y335" s="6"/>
      <c r="Z335" s="6"/>
      <c r="AA335" s="6" t="s">
        <v>346</v>
      </c>
    </row>
    <row r="336" spans="1:27" s="4" customFormat="1" ht="51.95" customHeight="1">
      <c r="A336" s="5">
        <v>0</v>
      </c>
      <c r="B336" s="6" t="s">
        <v>2220</v>
      </c>
      <c r="C336" s="13">
        <v>1680</v>
      </c>
      <c r="D336" s="8" t="s">
        <v>2221</v>
      </c>
      <c r="E336" s="8" t="s">
        <v>2222</v>
      </c>
      <c r="F336" s="8" t="s">
        <v>1020</v>
      </c>
      <c r="G336" s="6" t="s">
        <v>37</v>
      </c>
      <c r="H336" s="6" t="s">
        <v>38</v>
      </c>
      <c r="I336" s="8" t="s">
        <v>39</v>
      </c>
      <c r="J336" s="9">
        <v>1</v>
      </c>
      <c r="K336" s="9">
        <v>356</v>
      </c>
      <c r="L336" s="9">
        <v>2024</v>
      </c>
      <c r="M336" s="8" t="s">
        <v>2223</v>
      </c>
      <c r="N336" s="8" t="s">
        <v>41</v>
      </c>
      <c r="O336" s="8" t="s">
        <v>42</v>
      </c>
      <c r="P336" s="6" t="s">
        <v>55</v>
      </c>
      <c r="Q336" s="8" t="s">
        <v>44</v>
      </c>
      <c r="R336" s="10" t="s">
        <v>2219</v>
      </c>
      <c r="S336" s="11" t="s">
        <v>2224</v>
      </c>
      <c r="T336" s="6"/>
      <c r="U336" s="27" t="str">
        <f>HYPERLINK("https://media.infra-m.ru/2085/2085051/cover/2085051.jpg", "Обложка")</f>
        <v>Обложка</v>
      </c>
      <c r="V336" s="27" t="str">
        <f>HYPERLINK("https://znanium.com/catalog/product/2085051", "Ознакомиться")</f>
        <v>Ознакомиться</v>
      </c>
      <c r="W336" s="8" t="s">
        <v>1024</v>
      </c>
      <c r="X336" s="6"/>
      <c r="Y336" s="6"/>
      <c r="Z336" s="6"/>
      <c r="AA336" s="6" t="s">
        <v>405</v>
      </c>
    </row>
    <row r="337" spans="1:27" s="4" customFormat="1" ht="51.95" customHeight="1">
      <c r="A337" s="5">
        <v>0</v>
      </c>
      <c r="B337" s="6" t="s">
        <v>2225</v>
      </c>
      <c r="C337" s="7">
        <v>874.9</v>
      </c>
      <c r="D337" s="8" t="s">
        <v>2226</v>
      </c>
      <c r="E337" s="8" t="s">
        <v>2227</v>
      </c>
      <c r="F337" s="8" t="s">
        <v>1020</v>
      </c>
      <c r="G337" s="6" t="s">
        <v>92</v>
      </c>
      <c r="H337" s="6" t="s">
        <v>38</v>
      </c>
      <c r="I337" s="8" t="s">
        <v>39</v>
      </c>
      <c r="J337" s="9">
        <v>1</v>
      </c>
      <c r="K337" s="9">
        <v>272</v>
      </c>
      <c r="L337" s="9">
        <v>2019</v>
      </c>
      <c r="M337" s="8" t="s">
        <v>2228</v>
      </c>
      <c r="N337" s="8" t="s">
        <v>41</v>
      </c>
      <c r="O337" s="8" t="s">
        <v>42</v>
      </c>
      <c r="P337" s="6" t="s">
        <v>55</v>
      </c>
      <c r="Q337" s="8" t="s">
        <v>44</v>
      </c>
      <c r="R337" s="10" t="s">
        <v>2219</v>
      </c>
      <c r="S337" s="11" t="s">
        <v>2229</v>
      </c>
      <c r="T337" s="6"/>
      <c r="U337" s="27" t="str">
        <f>HYPERLINK("https://media.infra-m.ru/1009/1009011/cover/1009011.jpg", "Обложка")</f>
        <v>Обложка</v>
      </c>
      <c r="V337" s="27" t="str">
        <f>HYPERLINK("https://znanium.com/catalog/product/2085051", "Ознакомиться")</f>
        <v>Ознакомиться</v>
      </c>
      <c r="W337" s="8" t="s">
        <v>1024</v>
      </c>
      <c r="X337" s="6"/>
      <c r="Y337" s="6"/>
      <c r="Z337" s="6"/>
      <c r="AA337" s="6" t="s">
        <v>213</v>
      </c>
    </row>
    <row r="338" spans="1:27" s="4" customFormat="1" ht="51.95" customHeight="1">
      <c r="A338" s="5">
        <v>0</v>
      </c>
      <c r="B338" s="6" t="s">
        <v>2230</v>
      </c>
      <c r="C338" s="7">
        <v>990</v>
      </c>
      <c r="D338" s="8" t="s">
        <v>2231</v>
      </c>
      <c r="E338" s="8" t="s">
        <v>2232</v>
      </c>
      <c r="F338" s="8" t="s">
        <v>1566</v>
      </c>
      <c r="G338" s="6" t="s">
        <v>92</v>
      </c>
      <c r="H338" s="6" t="s">
        <v>38</v>
      </c>
      <c r="I338" s="8" t="s">
        <v>73</v>
      </c>
      <c r="J338" s="9">
        <v>1</v>
      </c>
      <c r="K338" s="9">
        <v>211</v>
      </c>
      <c r="L338" s="9">
        <v>2023</v>
      </c>
      <c r="M338" s="8" t="s">
        <v>2233</v>
      </c>
      <c r="N338" s="8" t="s">
        <v>41</v>
      </c>
      <c r="O338" s="8" t="s">
        <v>42</v>
      </c>
      <c r="P338" s="6" t="s">
        <v>43</v>
      </c>
      <c r="Q338" s="8" t="s">
        <v>75</v>
      </c>
      <c r="R338" s="10" t="s">
        <v>2234</v>
      </c>
      <c r="S338" s="11" t="s">
        <v>2235</v>
      </c>
      <c r="T338" s="6"/>
      <c r="U338" s="27" t="str">
        <f>HYPERLINK("https://media.infra-m.ru/1832/1832108/cover/1832108.jpg", "Обложка")</f>
        <v>Обложка</v>
      </c>
      <c r="V338" s="27" t="str">
        <f>HYPERLINK("https://znanium.com/catalog/product/1832108", "Ознакомиться")</f>
        <v>Ознакомиться</v>
      </c>
      <c r="W338" s="8" t="s">
        <v>1570</v>
      </c>
      <c r="X338" s="6" t="s">
        <v>1732</v>
      </c>
      <c r="Y338" s="6"/>
      <c r="Z338" s="6"/>
      <c r="AA338" s="6" t="s">
        <v>461</v>
      </c>
    </row>
    <row r="339" spans="1:27" s="4" customFormat="1" ht="51.95" customHeight="1">
      <c r="A339" s="5">
        <v>0</v>
      </c>
      <c r="B339" s="6" t="s">
        <v>2236</v>
      </c>
      <c r="C339" s="7">
        <v>774.9</v>
      </c>
      <c r="D339" s="8" t="s">
        <v>2237</v>
      </c>
      <c r="E339" s="8" t="s">
        <v>2238</v>
      </c>
      <c r="F339" s="8" t="s">
        <v>2239</v>
      </c>
      <c r="G339" s="6" t="s">
        <v>119</v>
      </c>
      <c r="H339" s="6" t="s">
        <v>38</v>
      </c>
      <c r="I339" s="8" t="s">
        <v>120</v>
      </c>
      <c r="J339" s="9">
        <v>1</v>
      </c>
      <c r="K339" s="9">
        <v>226</v>
      </c>
      <c r="L339" s="9">
        <v>2019</v>
      </c>
      <c r="M339" s="8" t="s">
        <v>2240</v>
      </c>
      <c r="N339" s="8" t="s">
        <v>41</v>
      </c>
      <c r="O339" s="8" t="s">
        <v>42</v>
      </c>
      <c r="P339" s="6" t="s">
        <v>122</v>
      </c>
      <c r="Q339" s="8" t="s">
        <v>123</v>
      </c>
      <c r="R339" s="10" t="s">
        <v>2241</v>
      </c>
      <c r="S339" s="11"/>
      <c r="T339" s="6"/>
      <c r="U339" s="27" t="str">
        <f>HYPERLINK("https://media.infra-m.ru/0989/0989366/cover/989366.jpg", "Обложка")</f>
        <v>Обложка</v>
      </c>
      <c r="V339" s="27" t="str">
        <f>HYPERLINK("https://znanium.com/catalog/product/989366", "Ознакомиться")</f>
        <v>Ознакомиться</v>
      </c>
      <c r="W339" s="8" t="s">
        <v>125</v>
      </c>
      <c r="X339" s="6"/>
      <c r="Y339" s="6"/>
      <c r="Z339" s="6"/>
      <c r="AA339" s="6" t="s">
        <v>106</v>
      </c>
    </row>
    <row r="340" spans="1:27" s="4" customFormat="1" ht="44.1" customHeight="1">
      <c r="A340" s="5">
        <v>0</v>
      </c>
      <c r="B340" s="6" t="s">
        <v>2242</v>
      </c>
      <c r="C340" s="13">
        <v>1250</v>
      </c>
      <c r="D340" s="8" t="s">
        <v>2243</v>
      </c>
      <c r="E340" s="8" t="s">
        <v>2244</v>
      </c>
      <c r="F340" s="8" t="s">
        <v>1634</v>
      </c>
      <c r="G340" s="6" t="s">
        <v>119</v>
      </c>
      <c r="H340" s="6" t="s">
        <v>38</v>
      </c>
      <c r="I340" s="8" t="s">
        <v>120</v>
      </c>
      <c r="J340" s="9">
        <v>1</v>
      </c>
      <c r="K340" s="9">
        <v>270</v>
      </c>
      <c r="L340" s="9">
        <v>2024</v>
      </c>
      <c r="M340" s="8" t="s">
        <v>2245</v>
      </c>
      <c r="N340" s="8" t="s">
        <v>41</v>
      </c>
      <c r="O340" s="8" t="s">
        <v>42</v>
      </c>
      <c r="P340" s="6" t="s">
        <v>122</v>
      </c>
      <c r="Q340" s="8" t="s">
        <v>123</v>
      </c>
      <c r="R340" s="10" t="s">
        <v>124</v>
      </c>
      <c r="S340" s="11"/>
      <c r="T340" s="6"/>
      <c r="U340" s="27" t="str">
        <f>HYPERLINK("https://media.infra-m.ru/2086/2086387/cover/2086387.jpg", "Обложка")</f>
        <v>Обложка</v>
      </c>
      <c r="V340" s="27" t="str">
        <f>HYPERLINK("https://znanium.com/catalog/product/2086387", "Ознакомиться")</f>
        <v>Ознакомиться</v>
      </c>
      <c r="W340" s="8" t="s">
        <v>1024</v>
      </c>
      <c r="X340" s="6"/>
      <c r="Y340" s="6"/>
      <c r="Z340" s="6"/>
      <c r="AA340" s="6" t="s">
        <v>106</v>
      </c>
    </row>
    <row r="341" spans="1:27" s="4" customFormat="1" ht="44.1" customHeight="1">
      <c r="A341" s="5">
        <v>0</v>
      </c>
      <c r="B341" s="6" t="s">
        <v>2246</v>
      </c>
      <c r="C341" s="13">
        <v>1264.9000000000001</v>
      </c>
      <c r="D341" s="8" t="s">
        <v>2247</v>
      </c>
      <c r="E341" s="8" t="s">
        <v>2248</v>
      </c>
      <c r="F341" s="8" t="s">
        <v>2249</v>
      </c>
      <c r="G341" s="6" t="s">
        <v>92</v>
      </c>
      <c r="H341" s="6" t="s">
        <v>93</v>
      </c>
      <c r="I341" s="8"/>
      <c r="J341" s="9">
        <v>1</v>
      </c>
      <c r="K341" s="9">
        <v>432</v>
      </c>
      <c r="L341" s="9">
        <v>2017</v>
      </c>
      <c r="M341" s="8" t="s">
        <v>2250</v>
      </c>
      <c r="N341" s="8" t="s">
        <v>41</v>
      </c>
      <c r="O341" s="8" t="s">
        <v>502</v>
      </c>
      <c r="P341" s="6" t="s">
        <v>43</v>
      </c>
      <c r="Q341" s="8" t="s">
        <v>75</v>
      </c>
      <c r="R341" s="10" t="s">
        <v>2251</v>
      </c>
      <c r="S341" s="11"/>
      <c r="T341" s="6"/>
      <c r="U341" s="27" t="str">
        <f>HYPERLINK("https://media.infra-m.ru/0883/0883127/cover/883127.jpg", "Обложка")</f>
        <v>Обложка</v>
      </c>
      <c r="V341" s="27" t="str">
        <f>HYPERLINK("https://znanium.com/catalog/product/193469", "Ознакомиться")</f>
        <v>Ознакомиться</v>
      </c>
      <c r="W341" s="8" t="s">
        <v>125</v>
      </c>
      <c r="X341" s="6"/>
      <c r="Y341" s="6"/>
      <c r="Z341" s="6"/>
      <c r="AA341" s="6" t="s">
        <v>451</v>
      </c>
    </row>
    <row r="342" spans="1:27" s="4" customFormat="1" ht="51.95" customHeight="1">
      <c r="A342" s="5">
        <v>0</v>
      </c>
      <c r="B342" s="6" t="s">
        <v>2252</v>
      </c>
      <c r="C342" s="13">
        <v>1200</v>
      </c>
      <c r="D342" s="8" t="s">
        <v>2253</v>
      </c>
      <c r="E342" s="8" t="s">
        <v>2254</v>
      </c>
      <c r="F342" s="8" t="s">
        <v>2255</v>
      </c>
      <c r="G342" s="6" t="s">
        <v>37</v>
      </c>
      <c r="H342" s="6" t="s">
        <v>38</v>
      </c>
      <c r="I342" s="8" t="s">
        <v>39</v>
      </c>
      <c r="J342" s="9">
        <v>1</v>
      </c>
      <c r="K342" s="9">
        <v>260</v>
      </c>
      <c r="L342" s="9">
        <v>2024</v>
      </c>
      <c r="M342" s="8" t="s">
        <v>2256</v>
      </c>
      <c r="N342" s="8" t="s">
        <v>41</v>
      </c>
      <c r="O342" s="8" t="s">
        <v>42</v>
      </c>
      <c r="P342" s="6" t="s">
        <v>43</v>
      </c>
      <c r="Q342" s="8" t="s">
        <v>44</v>
      </c>
      <c r="R342" s="10" t="s">
        <v>2257</v>
      </c>
      <c r="S342" s="11" t="s">
        <v>2258</v>
      </c>
      <c r="T342" s="6"/>
      <c r="U342" s="27" t="str">
        <f>HYPERLINK("https://media.infra-m.ru/2085/2085043/cover/2085043.jpg", "Обложка")</f>
        <v>Обложка</v>
      </c>
      <c r="V342" s="27" t="str">
        <f>HYPERLINK("https://znanium.com/catalog/product/2085043", "Ознакомиться")</f>
        <v>Ознакомиться</v>
      </c>
      <c r="W342" s="8" t="s">
        <v>2259</v>
      </c>
      <c r="X342" s="6"/>
      <c r="Y342" s="6"/>
      <c r="Z342" s="6"/>
      <c r="AA342" s="6" t="s">
        <v>126</v>
      </c>
    </row>
    <row r="343" spans="1:27" s="4" customFormat="1" ht="42" customHeight="1">
      <c r="A343" s="5">
        <v>0</v>
      </c>
      <c r="B343" s="6" t="s">
        <v>2260</v>
      </c>
      <c r="C343" s="13">
        <v>1184</v>
      </c>
      <c r="D343" s="8" t="s">
        <v>2261</v>
      </c>
      <c r="E343" s="8" t="s">
        <v>2262</v>
      </c>
      <c r="F343" s="8" t="s">
        <v>2263</v>
      </c>
      <c r="G343" s="6" t="s">
        <v>119</v>
      </c>
      <c r="H343" s="6" t="s">
        <v>38</v>
      </c>
      <c r="I343" s="8" t="s">
        <v>1811</v>
      </c>
      <c r="J343" s="9">
        <v>1</v>
      </c>
      <c r="K343" s="9">
        <v>258</v>
      </c>
      <c r="L343" s="9">
        <v>2024</v>
      </c>
      <c r="M343" s="8" t="s">
        <v>2264</v>
      </c>
      <c r="N343" s="8" t="s">
        <v>41</v>
      </c>
      <c r="O343" s="8" t="s">
        <v>42</v>
      </c>
      <c r="P343" s="6" t="s">
        <v>122</v>
      </c>
      <c r="Q343" s="8" t="s">
        <v>123</v>
      </c>
      <c r="R343" s="10" t="s">
        <v>2121</v>
      </c>
      <c r="S343" s="11"/>
      <c r="T343" s="6"/>
      <c r="U343" s="27" t="str">
        <f>HYPERLINK("https://media.infra-m.ru/2113/2113861/cover/2113861.jpg", "Обложка")</f>
        <v>Обложка</v>
      </c>
      <c r="V343" s="27" t="str">
        <f>HYPERLINK("https://znanium.com/catalog/product/1976119", "Ознакомиться")</f>
        <v>Ознакомиться</v>
      </c>
      <c r="W343" s="8" t="s">
        <v>1825</v>
      </c>
      <c r="X343" s="6"/>
      <c r="Y343" s="6"/>
      <c r="Z343" s="6"/>
      <c r="AA343" s="6" t="s">
        <v>204</v>
      </c>
    </row>
    <row r="344" spans="1:27" s="4" customFormat="1" ht="51.95" customHeight="1">
      <c r="A344" s="5">
        <v>0</v>
      </c>
      <c r="B344" s="6" t="s">
        <v>2265</v>
      </c>
      <c r="C344" s="7">
        <v>890</v>
      </c>
      <c r="D344" s="8" t="s">
        <v>2266</v>
      </c>
      <c r="E344" s="8" t="s">
        <v>2267</v>
      </c>
      <c r="F344" s="8" t="s">
        <v>2268</v>
      </c>
      <c r="G344" s="6" t="s">
        <v>119</v>
      </c>
      <c r="H344" s="6" t="s">
        <v>38</v>
      </c>
      <c r="I344" s="8" t="s">
        <v>1467</v>
      </c>
      <c r="J344" s="9">
        <v>1</v>
      </c>
      <c r="K344" s="9">
        <v>148</v>
      </c>
      <c r="L344" s="9">
        <v>2023</v>
      </c>
      <c r="M344" s="8" t="s">
        <v>2269</v>
      </c>
      <c r="N344" s="8" t="s">
        <v>41</v>
      </c>
      <c r="O344" s="8" t="s">
        <v>42</v>
      </c>
      <c r="P344" s="6" t="s">
        <v>43</v>
      </c>
      <c r="Q344" s="8" t="s">
        <v>75</v>
      </c>
      <c r="R344" s="10" t="s">
        <v>2270</v>
      </c>
      <c r="S344" s="11" t="s">
        <v>2271</v>
      </c>
      <c r="T344" s="6"/>
      <c r="U344" s="27" t="str">
        <f>HYPERLINK("https://media.infra-m.ru/1910/1910855/cover/1910855.jpg", "Обложка")</f>
        <v>Обложка</v>
      </c>
      <c r="V344" s="12"/>
      <c r="W344" s="8" t="s">
        <v>1471</v>
      </c>
      <c r="X344" s="6" t="s">
        <v>2272</v>
      </c>
      <c r="Y344" s="6"/>
      <c r="Z344" s="6"/>
      <c r="AA344" s="6" t="s">
        <v>461</v>
      </c>
    </row>
    <row r="345" spans="1:27" s="4" customFormat="1" ht="42" customHeight="1">
      <c r="A345" s="5">
        <v>0</v>
      </c>
      <c r="B345" s="6" t="s">
        <v>2273</v>
      </c>
      <c r="C345" s="7">
        <v>907.5</v>
      </c>
      <c r="D345" s="8" t="s">
        <v>2274</v>
      </c>
      <c r="E345" s="8" t="s">
        <v>2267</v>
      </c>
      <c r="F345" s="8" t="s">
        <v>2275</v>
      </c>
      <c r="G345" s="6" t="s">
        <v>119</v>
      </c>
      <c r="H345" s="6" t="s">
        <v>93</v>
      </c>
      <c r="I345" s="8"/>
      <c r="J345" s="9">
        <v>1</v>
      </c>
      <c r="K345" s="9">
        <v>100</v>
      </c>
      <c r="L345" s="9">
        <v>2023</v>
      </c>
      <c r="M345" s="8" t="s">
        <v>2276</v>
      </c>
      <c r="N345" s="8" t="s">
        <v>41</v>
      </c>
      <c r="O345" s="8" t="s">
        <v>42</v>
      </c>
      <c r="P345" s="6" t="s">
        <v>43</v>
      </c>
      <c r="Q345" s="8"/>
      <c r="R345" s="10" t="s">
        <v>2277</v>
      </c>
      <c r="S345" s="11"/>
      <c r="T345" s="6"/>
      <c r="U345" s="27" t="str">
        <f>HYPERLINK("https://media.infra-m.ru/2076/2076737/cover/2076737.jpg", "Обложка")</f>
        <v>Обложка</v>
      </c>
      <c r="V345" s="12"/>
      <c r="W345" s="8" t="s">
        <v>46</v>
      </c>
      <c r="X345" s="6" t="s">
        <v>2278</v>
      </c>
      <c r="Y345" s="6"/>
      <c r="Z345" s="6"/>
      <c r="AA345" s="6" t="s">
        <v>461</v>
      </c>
    </row>
    <row r="346" spans="1:27" s="4" customFormat="1" ht="51.95" customHeight="1">
      <c r="A346" s="5">
        <v>0</v>
      </c>
      <c r="B346" s="6" t="s">
        <v>2279</v>
      </c>
      <c r="C346" s="13">
        <v>1594.9</v>
      </c>
      <c r="D346" s="8" t="s">
        <v>2280</v>
      </c>
      <c r="E346" s="8" t="s">
        <v>2281</v>
      </c>
      <c r="F346" s="8" t="s">
        <v>2282</v>
      </c>
      <c r="G346" s="6" t="s">
        <v>37</v>
      </c>
      <c r="H346" s="6" t="s">
        <v>38</v>
      </c>
      <c r="I346" s="8" t="s">
        <v>73</v>
      </c>
      <c r="J346" s="9">
        <v>1</v>
      </c>
      <c r="K346" s="9">
        <v>357</v>
      </c>
      <c r="L346" s="9">
        <v>2022</v>
      </c>
      <c r="M346" s="8" t="s">
        <v>2283</v>
      </c>
      <c r="N346" s="8" t="s">
        <v>41</v>
      </c>
      <c r="O346" s="8" t="s">
        <v>42</v>
      </c>
      <c r="P346" s="6" t="s">
        <v>43</v>
      </c>
      <c r="Q346" s="8" t="s">
        <v>75</v>
      </c>
      <c r="R346" s="10" t="s">
        <v>201</v>
      </c>
      <c r="S346" s="11" t="s">
        <v>2284</v>
      </c>
      <c r="T346" s="6"/>
      <c r="U346" s="27" t="str">
        <f>HYPERLINK("https://media.infra-m.ru/1891/1891650/cover/1891650.jpg", "Обложка")</f>
        <v>Обложка</v>
      </c>
      <c r="V346" s="27" t="str">
        <f>HYPERLINK("https://znanium.com/catalog/product/1891625", "Ознакомиться")</f>
        <v>Ознакомиться</v>
      </c>
      <c r="W346" s="8" t="s">
        <v>46</v>
      </c>
      <c r="X346" s="6"/>
      <c r="Y346" s="6"/>
      <c r="Z346" s="6"/>
      <c r="AA346" s="6" t="s">
        <v>838</v>
      </c>
    </row>
    <row r="347" spans="1:27" s="4" customFormat="1" ht="51.95" customHeight="1">
      <c r="A347" s="5">
        <v>0</v>
      </c>
      <c r="B347" s="6" t="s">
        <v>2285</v>
      </c>
      <c r="C347" s="13">
        <v>1644</v>
      </c>
      <c r="D347" s="8" t="s">
        <v>2286</v>
      </c>
      <c r="E347" s="8" t="s">
        <v>2281</v>
      </c>
      <c r="F347" s="8" t="s">
        <v>2282</v>
      </c>
      <c r="G347" s="6" t="s">
        <v>37</v>
      </c>
      <c r="H347" s="6" t="s">
        <v>38</v>
      </c>
      <c r="I347" s="8" t="s">
        <v>53</v>
      </c>
      <c r="J347" s="9">
        <v>1</v>
      </c>
      <c r="K347" s="9">
        <v>357</v>
      </c>
      <c r="L347" s="9">
        <v>2024</v>
      </c>
      <c r="M347" s="8" t="s">
        <v>2287</v>
      </c>
      <c r="N347" s="8" t="s">
        <v>41</v>
      </c>
      <c r="O347" s="8" t="s">
        <v>42</v>
      </c>
      <c r="P347" s="6" t="s">
        <v>43</v>
      </c>
      <c r="Q347" s="8" t="s">
        <v>56</v>
      </c>
      <c r="R347" s="10" t="s">
        <v>2288</v>
      </c>
      <c r="S347" s="11" t="s">
        <v>2289</v>
      </c>
      <c r="T347" s="6"/>
      <c r="U347" s="27" t="str">
        <f>HYPERLINK("https://media.infra-m.ru/2104/2104834/cover/2104834.jpg", "Обложка")</f>
        <v>Обложка</v>
      </c>
      <c r="V347" s="27" t="str">
        <f>HYPERLINK("https://znanium.com/catalog/product/2040895", "Ознакомиться")</f>
        <v>Ознакомиться</v>
      </c>
      <c r="W347" s="8" t="s">
        <v>46</v>
      </c>
      <c r="X347" s="6"/>
      <c r="Y347" s="6"/>
      <c r="Z347" s="6" t="s">
        <v>60</v>
      </c>
      <c r="AA347" s="6" t="s">
        <v>559</v>
      </c>
    </row>
    <row r="348" spans="1:27" s="4" customFormat="1" ht="51.95" customHeight="1">
      <c r="A348" s="5">
        <v>0</v>
      </c>
      <c r="B348" s="6" t="s">
        <v>2290</v>
      </c>
      <c r="C348" s="13">
        <v>1714.9</v>
      </c>
      <c r="D348" s="8" t="s">
        <v>2291</v>
      </c>
      <c r="E348" s="8" t="s">
        <v>2292</v>
      </c>
      <c r="F348" s="8" t="s">
        <v>2293</v>
      </c>
      <c r="G348" s="6" t="s">
        <v>37</v>
      </c>
      <c r="H348" s="6" t="s">
        <v>52</v>
      </c>
      <c r="I348" s="8"/>
      <c r="J348" s="9">
        <v>1</v>
      </c>
      <c r="K348" s="9">
        <v>380</v>
      </c>
      <c r="L348" s="9">
        <v>2023</v>
      </c>
      <c r="M348" s="8" t="s">
        <v>2294</v>
      </c>
      <c r="N348" s="8" t="s">
        <v>41</v>
      </c>
      <c r="O348" s="8" t="s">
        <v>42</v>
      </c>
      <c r="P348" s="6" t="s">
        <v>55</v>
      </c>
      <c r="Q348" s="8" t="s">
        <v>75</v>
      </c>
      <c r="R348" s="10" t="s">
        <v>2295</v>
      </c>
      <c r="S348" s="11"/>
      <c r="T348" s="6"/>
      <c r="U348" s="27" t="str">
        <f>HYPERLINK("https://media.infra-m.ru/2002/2002596/cover/2002596.jpg", "Обложка")</f>
        <v>Обложка</v>
      </c>
      <c r="V348" s="27" t="str">
        <f>HYPERLINK("https://znanium.com/catalog/product/1091379", "Ознакомиться")</f>
        <v>Ознакомиться</v>
      </c>
      <c r="W348" s="8" t="s">
        <v>46</v>
      </c>
      <c r="X348" s="6"/>
      <c r="Y348" s="6"/>
      <c r="Z348" s="6"/>
      <c r="AA348" s="6" t="s">
        <v>61</v>
      </c>
    </row>
    <row r="349" spans="1:27" s="4" customFormat="1" ht="51.95" customHeight="1">
      <c r="A349" s="5">
        <v>0</v>
      </c>
      <c r="B349" s="6" t="s">
        <v>2296</v>
      </c>
      <c r="C349" s="7">
        <v>284.89999999999998</v>
      </c>
      <c r="D349" s="8" t="s">
        <v>2297</v>
      </c>
      <c r="E349" s="8" t="s">
        <v>2298</v>
      </c>
      <c r="F349" s="8" t="s">
        <v>2299</v>
      </c>
      <c r="G349" s="6" t="s">
        <v>119</v>
      </c>
      <c r="H349" s="6" t="s">
        <v>38</v>
      </c>
      <c r="I349" s="8" t="s">
        <v>120</v>
      </c>
      <c r="J349" s="9">
        <v>1</v>
      </c>
      <c r="K349" s="9">
        <v>92</v>
      </c>
      <c r="L349" s="9">
        <v>2018</v>
      </c>
      <c r="M349" s="8" t="s">
        <v>2300</v>
      </c>
      <c r="N349" s="8" t="s">
        <v>41</v>
      </c>
      <c r="O349" s="8" t="s">
        <v>502</v>
      </c>
      <c r="P349" s="6" t="s">
        <v>122</v>
      </c>
      <c r="Q349" s="8" t="s">
        <v>123</v>
      </c>
      <c r="R349" s="10" t="s">
        <v>2301</v>
      </c>
      <c r="S349" s="11"/>
      <c r="T349" s="6"/>
      <c r="U349" s="27" t="str">
        <f>HYPERLINK("https://media.infra-m.ru/0920/0920540/cover/920540.jpg", "Обложка")</f>
        <v>Обложка</v>
      </c>
      <c r="V349" s="27" t="str">
        <f>HYPERLINK("https://znanium.com/catalog/product/920540", "Ознакомиться")</f>
        <v>Ознакомиться</v>
      </c>
      <c r="W349" s="8" t="s">
        <v>1869</v>
      </c>
      <c r="X349" s="6"/>
      <c r="Y349" s="6"/>
      <c r="Z349" s="6"/>
      <c r="AA349" s="6" t="s">
        <v>150</v>
      </c>
    </row>
    <row r="350" spans="1:27" s="4" customFormat="1" ht="51.95" customHeight="1">
      <c r="A350" s="5">
        <v>0</v>
      </c>
      <c r="B350" s="6" t="s">
        <v>2302</v>
      </c>
      <c r="C350" s="13">
        <v>1150</v>
      </c>
      <c r="D350" s="8" t="s">
        <v>2303</v>
      </c>
      <c r="E350" s="8" t="s">
        <v>2304</v>
      </c>
      <c r="F350" s="8" t="s">
        <v>2305</v>
      </c>
      <c r="G350" s="6" t="s">
        <v>119</v>
      </c>
      <c r="H350" s="6" t="s">
        <v>52</v>
      </c>
      <c r="I350" s="8"/>
      <c r="J350" s="9">
        <v>1</v>
      </c>
      <c r="K350" s="9">
        <v>256</v>
      </c>
      <c r="L350" s="9">
        <v>2023</v>
      </c>
      <c r="M350" s="8" t="s">
        <v>2306</v>
      </c>
      <c r="N350" s="8" t="s">
        <v>41</v>
      </c>
      <c r="O350" s="8" t="s">
        <v>42</v>
      </c>
      <c r="P350" s="6" t="s">
        <v>43</v>
      </c>
      <c r="Q350" s="8" t="s">
        <v>75</v>
      </c>
      <c r="R350" s="10" t="s">
        <v>2307</v>
      </c>
      <c r="S350" s="11"/>
      <c r="T350" s="6"/>
      <c r="U350" s="27" t="str">
        <f>HYPERLINK("https://media.infra-m.ru/2020/2020594/cover/2020594.jpg", "Обложка")</f>
        <v>Обложка</v>
      </c>
      <c r="V350" s="27" t="str">
        <f>HYPERLINK("https://znanium.com/catalog/product/2020594", "Ознакомиться")</f>
        <v>Ознакомиться</v>
      </c>
      <c r="W350" s="8" t="s">
        <v>2308</v>
      </c>
      <c r="X350" s="6"/>
      <c r="Y350" s="6"/>
      <c r="Z350" s="6"/>
      <c r="AA350" s="6" t="s">
        <v>106</v>
      </c>
    </row>
    <row r="351" spans="1:27" s="4" customFormat="1" ht="51.95" customHeight="1">
      <c r="A351" s="5">
        <v>0</v>
      </c>
      <c r="B351" s="6" t="s">
        <v>2309</v>
      </c>
      <c r="C351" s="7">
        <v>804.9</v>
      </c>
      <c r="D351" s="8" t="s">
        <v>2310</v>
      </c>
      <c r="E351" s="8" t="s">
        <v>2311</v>
      </c>
      <c r="F351" s="8" t="s">
        <v>2312</v>
      </c>
      <c r="G351" s="6" t="s">
        <v>92</v>
      </c>
      <c r="H351" s="6" t="s">
        <v>1430</v>
      </c>
      <c r="I351" s="8"/>
      <c r="J351" s="9">
        <v>1</v>
      </c>
      <c r="K351" s="9">
        <v>192</v>
      </c>
      <c r="L351" s="9">
        <v>2022</v>
      </c>
      <c r="M351" s="8" t="s">
        <v>2313</v>
      </c>
      <c r="N351" s="8" t="s">
        <v>41</v>
      </c>
      <c r="O351" s="8" t="s">
        <v>42</v>
      </c>
      <c r="P351" s="6" t="s">
        <v>55</v>
      </c>
      <c r="Q351" s="8" t="s">
        <v>75</v>
      </c>
      <c r="R351" s="10" t="s">
        <v>2314</v>
      </c>
      <c r="S351" s="11" t="s">
        <v>2315</v>
      </c>
      <c r="T351" s="6"/>
      <c r="U351" s="27" t="str">
        <f>HYPERLINK("https://media.infra-m.ru/1876/1876499/cover/1876499.jpg", "Обложка")</f>
        <v>Обложка</v>
      </c>
      <c r="V351" s="27" t="str">
        <f>HYPERLINK("https://znanium.com/catalog/product/1141782", "Ознакомиться")</f>
        <v>Ознакомиться</v>
      </c>
      <c r="W351" s="8" t="s">
        <v>314</v>
      </c>
      <c r="X351" s="6"/>
      <c r="Y351" s="6"/>
      <c r="Z351" s="6"/>
      <c r="AA351" s="6" t="s">
        <v>213</v>
      </c>
    </row>
    <row r="352" spans="1:27" s="4" customFormat="1" ht="51.95" customHeight="1">
      <c r="A352" s="5">
        <v>0</v>
      </c>
      <c r="B352" s="6" t="s">
        <v>2316</v>
      </c>
      <c r="C352" s="13">
        <v>1694</v>
      </c>
      <c r="D352" s="8" t="s">
        <v>2317</v>
      </c>
      <c r="E352" s="8" t="s">
        <v>2318</v>
      </c>
      <c r="F352" s="8" t="s">
        <v>2312</v>
      </c>
      <c r="G352" s="6" t="s">
        <v>92</v>
      </c>
      <c r="H352" s="6" t="s">
        <v>1430</v>
      </c>
      <c r="I352" s="8"/>
      <c r="J352" s="9">
        <v>1</v>
      </c>
      <c r="K352" s="9">
        <v>368</v>
      </c>
      <c r="L352" s="9">
        <v>2023</v>
      </c>
      <c r="M352" s="8" t="s">
        <v>2319</v>
      </c>
      <c r="N352" s="8" t="s">
        <v>41</v>
      </c>
      <c r="O352" s="8" t="s">
        <v>42</v>
      </c>
      <c r="P352" s="6" t="s">
        <v>55</v>
      </c>
      <c r="Q352" s="8" t="s">
        <v>75</v>
      </c>
      <c r="R352" s="10" t="s">
        <v>2320</v>
      </c>
      <c r="S352" s="11" t="s">
        <v>2315</v>
      </c>
      <c r="T352" s="6"/>
      <c r="U352" s="27" t="str">
        <f>HYPERLINK("https://media.infra-m.ru/2045/2045936/cover/2045936.jpg", "Обложка")</f>
        <v>Обложка</v>
      </c>
      <c r="V352" s="27" t="str">
        <f>HYPERLINK("https://znanium.com/catalog/product/1852183", "Ознакомиться")</f>
        <v>Ознакомиться</v>
      </c>
      <c r="W352" s="8" t="s">
        <v>314</v>
      </c>
      <c r="X352" s="6"/>
      <c r="Y352" s="6"/>
      <c r="Z352" s="6"/>
      <c r="AA352" s="6" t="s">
        <v>213</v>
      </c>
    </row>
    <row r="353" spans="1:27" s="4" customFormat="1" ht="51.95" customHeight="1">
      <c r="A353" s="5">
        <v>0</v>
      </c>
      <c r="B353" s="6" t="s">
        <v>2321</v>
      </c>
      <c r="C353" s="7">
        <v>689.9</v>
      </c>
      <c r="D353" s="8" t="s">
        <v>2322</v>
      </c>
      <c r="E353" s="8" t="s">
        <v>2323</v>
      </c>
      <c r="F353" s="8" t="s">
        <v>2324</v>
      </c>
      <c r="G353" s="6" t="s">
        <v>2325</v>
      </c>
      <c r="H353" s="6" t="s">
        <v>1430</v>
      </c>
      <c r="I353" s="8"/>
      <c r="J353" s="9">
        <v>10</v>
      </c>
      <c r="K353" s="9">
        <v>448</v>
      </c>
      <c r="L353" s="9">
        <v>2015</v>
      </c>
      <c r="M353" s="8" t="s">
        <v>2326</v>
      </c>
      <c r="N353" s="8" t="s">
        <v>41</v>
      </c>
      <c r="O353" s="8" t="s">
        <v>42</v>
      </c>
      <c r="P353" s="6" t="s">
        <v>55</v>
      </c>
      <c r="Q353" s="8" t="s">
        <v>75</v>
      </c>
      <c r="R353" s="10" t="s">
        <v>2327</v>
      </c>
      <c r="S353" s="11" t="s">
        <v>2328</v>
      </c>
      <c r="T353" s="6"/>
      <c r="U353" s="12"/>
      <c r="V353" s="27" t="str">
        <f>HYPERLINK("https://znanium.com/catalog/product/1693511", "Ознакомиться")</f>
        <v>Ознакомиться</v>
      </c>
      <c r="W353" s="8" t="s">
        <v>314</v>
      </c>
      <c r="X353" s="6"/>
      <c r="Y353" s="6"/>
      <c r="Z353" s="6"/>
      <c r="AA353" s="6" t="s">
        <v>469</v>
      </c>
    </row>
    <row r="354" spans="1:27" s="4" customFormat="1" ht="51.95" customHeight="1">
      <c r="A354" s="5">
        <v>0</v>
      </c>
      <c r="B354" s="6" t="s">
        <v>2329</v>
      </c>
      <c r="C354" s="13">
        <v>1954</v>
      </c>
      <c r="D354" s="8" t="s">
        <v>2330</v>
      </c>
      <c r="E354" s="8" t="s">
        <v>2331</v>
      </c>
      <c r="F354" s="8" t="s">
        <v>2324</v>
      </c>
      <c r="G354" s="6" t="s">
        <v>37</v>
      </c>
      <c r="H354" s="6" t="s">
        <v>1430</v>
      </c>
      <c r="I354" s="8"/>
      <c r="J354" s="9">
        <v>1</v>
      </c>
      <c r="K354" s="9">
        <v>424</v>
      </c>
      <c r="L354" s="9">
        <v>2024</v>
      </c>
      <c r="M354" s="8" t="s">
        <v>2332</v>
      </c>
      <c r="N354" s="8" t="s">
        <v>41</v>
      </c>
      <c r="O354" s="8" t="s">
        <v>42</v>
      </c>
      <c r="P354" s="6" t="s">
        <v>55</v>
      </c>
      <c r="Q354" s="8" t="s">
        <v>75</v>
      </c>
      <c r="R354" s="10" t="s">
        <v>2327</v>
      </c>
      <c r="S354" s="11" t="s">
        <v>2328</v>
      </c>
      <c r="T354" s="6"/>
      <c r="U354" s="27" t="str">
        <f>HYPERLINK("https://media.infra-m.ru/2093/2093935/cover/2093935.jpg", "Обложка")</f>
        <v>Обложка</v>
      </c>
      <c r="V354" s="27" t="str">
        <f>HYPERLINK("https://znanium.com/catalog/product/1693511", "Ознакомиться")</f>
        <v>Ознакомиться</v>
      </c>
      <c r="W354" s="8" t="s">
        <v>314</v>
      </c>
      <c r="X354" s="6"/>
      <c r="Y354" s="6"/>
      <c r="Z354" s="6"/>
      <c r="AA354" s="6" t="s">
        <v>559</v>
      </c>
    </row>
    <row r="355" spans="1:27" s="4" customFormat="1" ht="51.95" customHeight="1">
      <c r="A355" s="5">
        <v>0</v>
      </c>
      <c r="B355" s="6" t="s">
        <v>2333</v>
      </c>
      <c r="C355" s="13">
        <v>1724</v>
      </c>
      <c r="D355" s="8" t="s">
        <v>2334</v>
      </c>
      <c r="E355" s="8" t="s">
        <v>2335</v>
      </c>
      <c r="F355" s="8" t="s">
        <v>2336</v>
      </c>
      <c r="G355" s="6" t="s">
        <v>37</v>
      </c>
      <c r="H355" s="6" t="s">
        <v>38</v>
      </c>
      <c r="I355" s="8" t="s">
        <v>1467</v>
      </c>
      <c r="J355" s="9">
        <v>1</v>
      </c>
      <c r="K355" s="9">
        <v>372</v>
      </c>
      <c r="L355" s="9">
        <v>2024</v>
      </c>
      <c r="M355" s="8" t="s">
        <v>2337</v>
      </c>
      <c r="N355" s="8" t="s">
        <v>41</v>
      </c>
      <c r="O355" s="8" t="s">
        <v>42</v>
      </c>
      <c r="P355" s="6" t="s">
        <v>43</v>
      </c>
      <c r="Q355" s="8" t="s">
        <v>75</v>
      </c>
      <c r="R355" s="10" t="s">
        <v>1941</v>
      </c>
      <c r="S355" s="11" t="s">
        <v>2338</v>
      </c>
      <c r="T355" s="6"/>
      <c r="U355" s="27" t="str">
        <f>HYPERLINK("https://media.infra-m.ru/2088/2088638/cover/2088638.jpg", "Обложка")</f>
        <v>Обложка</v>
      </c>
      <c r="V355" s="12"/>
      <c r="W355" s="8" t="s">
        <v>1471</v>
      </c>
      <c r="X355" s="6"/>
      <c r="Y355" s="6"/>
      <c r="Z355" s="6"/>
      <c r="AA355" s="6" t="s">
        <v>61</v>
      </c>
    </row>
    <row r="356" spans="1:27" s="4" customFormat="1" ht="51.95" customHeight="1">
      <c r="A356" s="5">
        <v>0</v>
      </c>
      <c r="B356" s="6" t="s">
        <v>2339</v>
      </c>
      <c r="C356" s="13">
        <v>1164</v>
      </c>
      <c r="D356" s="8" t="s">
        <v>2340</v>
      </c>
      <c r="E356" s="8" t="s">
        <v>2341</v>
      </c>
      <c r="F356" s="8" t="s">
        <v>2342</v>
      </c>
      <c r="G356" s="6" t="s">
        <v>92</v>
      </c>
      <c r="H356" s="6" t="s">
        <v>38</v>
      </c>
      <c r="I356" s="8" t="s">
        <v>73</v>
      </c>
      <c r="J356" s="9">
        <v>1</v>
      </c>
      <c r="K356" s="9">
        <v>252</v>
      </c>
      <c r="L356" s="9">
        <v>2024</v>
      </c>
      <c r="M356" s="8" t="s">
        <v>2343</v>
      </c>
      <c r="N356" s="8" t="s">
        <v>41</v>
      </c>
      <c r="O356" s="8" t="s">
        <v>42</v>
      </c>
      <c r="P356" s="6" t="s">
        <v>55</v>
      </c>
      <c r="Q356" s="8" t="s">
        <v>75</v>
      </c>
      <c r="R356" s="10" t="s">
        <v>2344</v>
      </c>
      <c r="S356" s="11" t="s">
        <v>2345</v>
      </c>
      <c r="T356" s="6"/>
      <c r="U356" s="27" t="str">
        <f>HYPERLINK("https://media.infra-m.ru/1892/1892020/cover/1892020.jpg", "Обложка")</f>
        <v>Обложка</v>
      </c>
      <c r="V356" s="27" t="str">
        <f>HYPERLINK("https://znanium.com/catalog/product/1210727", "Ознакомиться")</f>
        <v>Ознакомиться</v>
      </c>
      <c r="W356" s="8" t="s">
        <v>1024</v>
      </c>
      <c r="X356" s="6"/>
      <c r="Y356" s="6"/>
      <c r="Z356" s="6"/>
      <c r="AA356" s="6" t="s">
        <v>213</v>
      </c>
    </row>
    <row r="357" spans="1:27" s="4" customFormat="1" ht="51.95" customHeight="1">
      <c r="A357" s="5">
        <v>0</v>
      </c>
      <c r="B357" s="6" t="s">
        <v>2346</v>
      </c>
      <c r="C357" s="13">
        <v>1344.9</v>
      </c>
      <c r="D357" s="8" t="s">
        <v>2347</v>
      </c>
      <c r="E357" s="8" t="s">
        <v>2348</v>
      </c>
      <c r="F357" s="8" t="s">
        <v>2349</v>
      </c>
      <c r="G357" s="6" t="s">
        <v>119</v>
      </c>
      <c r="H357" s="6" t="s">
        <v>38</v>
      </c>
      <c r="I357" s="8"/>
      <c r="J357" s="9">
        <v>1</v>
      </c>
      <c r="K357" s="9">
        <v>299</v>
      </c>
      <c r="L357" s="9">
        <v>2023</v>
      </c>
      <c r="M357" s="8" t="s">
        <v>2350</v>
      </c>
      <c r="N357" s="8" t="s">
        <v>41</v>
      </c>
      <c r="O357" s="8" t="s">
        <v>42</v>
      </c>
      <c r="P357" s="6" t="s">
        <v>43</v>
      </c>
      <c r="Q357" s="8" t="s">
        <v>75</v>
      </c>
      <c r="R357" s="10" t="s">
        <v>2351</v>
      </c>
      <c r="S357" s="11"/>
      <c r="T357" s="6"/>
      <c r="U357" s="27" t="str">
        <f>HYPERLINK("https://media.infra-m.ru/1911/1911218/cover/1911218.jpg", "Обложка")</f>
        <v>Обложка</v>
      </c>
      <c r="V357" s="27" t="str">
        <f>HYPERLINK("https://znanium.com/catalog/product/1002476", "Ознакомиться")</f>
        <v>Ознакомиться</v>
      </c>
      <c r="W357" s="8" t="s">
        <v>2352</v>
      </c>
      <c r="X357" s="6"/>
      <c r="Y357" s="6"/>
      <c r="Z357" s="6"/>
      <c r="AA357" s="6" t="s">
        <v>106</v>
      </c>
    </row>
    <row r="358" spans="1:27" s="4" customFormat="1" ht="42" customHeight="1">
      <c r="A358" s="5">
        <v>0</v>
      </c>
      <c r="B358" s="6" t="s">
        <v>2353</v>
      </c>
      <c r="C358" s="7">
        <v>590</v>
      </c>
      <c r="D358" s="8" t="s">
        <v>2354</v>
      </c>
      <c r="E358" s="8" t="s">
        <v>2355</v>
      </c>
      <c r="F358" s="8" t="s">
        <v>1769</v>
      </c>
      <c r="G358" s="6" t="s">
        <v>119</v>
      </c>
      <c r="H358" s="6" t="s">
        <v>38</v>
      </c>
      <c r="I358" s="8" t="s">
        <v>120</v>
      </c>
      <c r="J358" s="9">
        <v>1</v>
      </c>
      <c r="K358" s="9">
        <v>150</v>
      </c>
      <c r="L358" s="9">
        <v>2022</v>
      </c>
      <c r="M358" s="8" t="s">
        <v>2356</v>
      </c>
      <c r="N358" s="8" t="s">
        <v>41</v>
      </c>
      <c r="O358" s="8" t="s">
        <v>502</v>
      </c>
      <c r="P358" s="6" t="s">
        <v>122</v>
      </c>
      <c r="Q358" s="8" t="s">
        <v>123</v>
      </c>
      <c r="R358" s="10" t="s">
        <v>2357</v>
      </c>
      <c r="S358" s="11"/>
      <c r="T358" s="6"/>
      <c r="U358" s="27" t="str">
        <f>HYPERLINK("https://media.infra-m.ru/1854/1854954/cover/1854954.jpg", "Обложка")</f>
        <v>Обложка</v>
      </c>
      <c r="V358" s="27" t="str">
        <f>HYPERLINK("https://znanium.com/catalog/product/1854954", "Ознакомиться")</f>
        <v>Ознакомиться</v>
      </c>
      <c r="W358" s="8" t="s">
        <v>1375</v>
      </c>
      <c r="X358" s="6"/>
      <c r="Y358" s="6"/>
      <c r="Z358" s="6"/>
      <c r="AA358" s="6" t="s">
        <v>150</v>
      </c>
    </row>
    <row r="359" spans="1:27" s="4" customFormat="1" ht="51.95" customHeight="1">
      <c r="A359" s="5">
        <v>0</v>
      </c>
      <c r="B359" s="6" t="s">
        <v>2358</v>
      </c>
      <c r="C359" s="13">
        <v>1994.9</v>
      </c>
      <c r="D359" s="8" t="s">
        <v>2359</v>
      </c>
      <c r="E359" s="8" t="s">
        <v>2360</v>
      </c>
      <c r="F359" s="8" t="s">
        <v>2361</v>
      </c>
      <c r="G359" s="6" t="s">
        <v>37</v>
      </c>
      <c r="H359" s="6" t="s">
        <v>38</v>
      </c>
      <c r="I359" s="8" t="s">
        <v>73</v>
      </c>
      <c r="J359" s="9">
        <v>1</v>
      </c>
      <c r="K359" s="9">
        <v>583</v>
      </c>
      <c r="L359" s="9">
        <v>2022</v>
      </c>
      <c r="M359" s="8" t="s">
        <v>2362</v>
      </c>
      <c r="N359" s="8" t="s">
        <v>41</v>
      </c>
      <c r="O359" s="8" t="s">
        <v>42</v>
      </c>
      <c r="P359" s="6" t="s">
        <v>55</v>
      </c>
      <c r="Q359" s="8" t="s">
        <v>75</v>
      </c>
      <c r="R359" s="10" t="s">
        <v>2363</v>
      </c>
      <c r="S359" s="11" t="s">
        <v>2364</v>
      </c>
      <c r="T359" s="6"/>
      <c r="U359" s="27" t="str">
        <f>HYPERLINK("https://media.infra-m.ru/1817/1817933/cover/1817933.jpg", "Обложка")</f>
        <v>Обложка</v>
      </c>
      <c r="V359" s="27" t="str">
        <f>HYPERLINK("https://znanium.com/catalog/product/1817933", "Ознакомиться")</f>
        <v>Ознакомиться</v>
      </c>
      <c r="W359" s="8" t="s">
        <v>314</v>
      </c>
      <c r="X359" s="6"/>
      <c r="Y359" s="6"/>
      <c r="Z359" s="6"/>
      <c r="AA359" s="6" t="s">
        <v>222</v>
      </c>
    </row>
    <row r="360" spans="1:27" s="4" customFormat="1" ht="51.95" customHeight="1">
      <c r="A360" s="5">
        <v>0</v>
      </c>
      <c r="B360" s="6" t="s">
        <v>2365</v>
      </c>
      <c r="C360" s="13">
        <v>1254</v>
      </c>
      <c r="D360" s="8" t="s">
        <v>2366</v>
      </c>
      <c r="E360" s="8" t="s">
        <v>2367</v>
      </c>
      <c r="F360" s="8" t="s">
        <v>2368</v>
      </c>
      <c r="G360" s="6" t="s">
        <v>92</v>
      </c>
      <c r="H360" s="6" t="s">
        <v>52</v>
      </c>
      <c r="I360" s="8"/>
      <c r="J360" s="9">
        <v>1</v>
      </c>
      <c r="K360" s="9">
        <v>272</v>
      </c>
      <c r="L360" s="9">
        <v>2024</v>
      </c>
      <c r="M360" s="8" t="s">
        <v>2369</v>
      </c>
      <c r="N360" s="8" t="s">
        <v>41</v>
      </c>
      <c r="O360" s="8" t="s">
        <v>42</v>
      </c>
      <c r="P360" s="6" t="s">
        <v>43</v>
      </c>
      <c r="Q360" s="8" t="s">
        <v>75</v>
      </c>
      <c r="R360" s="10" t="s">
        <v>1941</v>
      </c>
      <c r="S360" s="11" t="s">
        <v>2370</v>
      </c>
      <c r="T360" s="6"/>
      <c r="U360" s="27" t="str">
        <f>HYPERLINK("https://media.infra-m.ru/2063/2063444/cover/2063444.jpg", "Обложка")</f>
        <v>Обложка</v>
      </c>
      <c r="V360" s="27" t="str">
        <f>HYPERLINK("https://znanium.com/catalog/product/1195622", "Ознакомиться")</f>
        <v>Ознакомиться</v>
      </c>
      <c r="W360" s="8" t="s">
        <v>125</v>
      </c>
      <c r="X360" s="6"/>
      <c r="Y360" s="6"/>
      <c r="Z360" s="6"/>
      <c r="AA360" s="6" t="s">
        <v>451</v>
      </c>
    </row>
    <row r="361" spans="1:27" s="4" customFormat="1" ht="51.95" customHeight="1">
      <c r="A361" s="5">
        <v>0</v>
      </c>
      <c r="B361" s="6" t="s">
        <v>2371</v>
      </c>
      <c r="C361" s="13">
        <v>1100</v>
      </c>
      <c r="D361" s="8" t="s">
        <v>2372</v>
      </c>
      <c r="E361" s="8" t="s">
        <v>2373</v>
      </c>
      <c r="F361" s="8" t="s">
        <v>646</v>
      </c>
      <c r="G361" s="6" t="s">
        <v>37</v>
      </c>
      <c r="H361" s="6" t="s">
        <v>38</v>
      </c>
      <c r="I361" s="8" t="s">
        <v>53</v>
      </c>
      <c r="J361" s="9">
        <v>1</v>
      </c>
      <c r="K361" s="9">
        <v>238</v>
      </c>
      <c r="L361" s="9">
        <v>2024</v>
      </c>
      <c r="M361" s="8" t="s">
        <v>2374</v>
      </c>
      <c r="N361" s="8" t="s">
        <v>41</v>
      </c>
      <c r="O361" s="8" t="s">
        <v>42</v>
      </c>
      <c r="P361" s="6" t="s">
        <v>43</v>
      </c>
      <c r="Q361" s="8" t="s">
        <v>56</v>
      </c>
      <c r="R361" s="10" t="s">
        <v>2375</v>
      </c>
      <c r="S361" s="11" t="s">
        <v>2376</v>
      </c>
      <c r="T361" s="6"/>
      <c r="U361" s="27" t="str">
        <f>HYPERLINK("https://media.infra-m.ru/2083/2083342/cover/2083342.jpg", "Обложка")</f>
        <v>Обложка</v>
      </c>
      <c r="V361" s="27" t="str">
        <f>HYPERLINK("https://znanium.com/catalog/product/2083342", "Ознакомиться")</f>
        <v>Ознакомиться</v>
      </c>
      <c r="W361" s="8" t="s">
        <v>650</v>
      </c>
      <c r="X361" s="6"/>
      <c r="Y361" s="6"/>
      <c r="Z361" s="6"/>
      <c r="AA361" s="6" t="s">
        <v>382</v>
      </c>
    </row>
    <row r="362" spans="1:27" s="4" customFormat="1" ht="51.95" customHeight="1">
      <c r="A362" s="5">
        <v>0</v>
      </c>
      <c r="B362" s="6" t="s">
        <v>2377</v>
      </c>
      <c r="C362" s="13">
        <v>1104</v>
      </c>
      <c r="D362" s="8" t="s">
        <v>2378</v>
      </c>
      <c r="E362" s="8" t="s">
        <v>2379</v>
      </c>
      <c r="F362" s="8" t="s">
        <v>2380</v>
      </c>
      <c r="G362" s="6" t="s">
        <v>92</v>
      </c>
      <c r="H362" s="6" t="s">
        <v>161</v>
      </c>
      <c r="I362" s="8" t="s">
        <v>132</v>
      </c>
      <c r="J362" s="9">
        <v>1</v>
      </c>
      <c r="K362" s="9">
        <v>240</v>
      </c>
      <c r="L362" s="9">
        <v>2024</v>
      </c>
      <c r="M362" s="8" t="s">
        <v>2381</v>
      </c>
      <c r="N362" s="8" t="s">
        <v>41</v>
      </c>
      <c r="O362" s="8" t="s">
        <v>42</v>
      </c>
      <c r="P362" s="6" t="s">
        <v>43</v>
      </c>
      <c r="Q362" s="8" t="s">
        <v>75</v>
      </c>
      <c r="R362" s="10" t="s">
        <v>1281</v>
      </c>
      <c r="S362" s="11" t="s">
        <v>2382</v>
      </c>
      <c r="T362" s="6"/>
      <c r="U362" s="27" t="str">
        <f>HYPERLINK("https://media.infra-m.ru/2056/2056628/cover/2056628.jpg", "Обложка")</f>
        <v>Обложка</v>
      </c>
      <c r="V362" s="12"/>
      <c r="W362" s="8" t="s">
        <v>2383</v>
      </c>
      <c r="X362" s="6"/>
      <c r="Y362" s="6"/>
      <c r="Z362" s="6"/>
      <c r="AA362" s="6" t="s">
        <v>290</v>
      </c>
    </row>
    <row r="363" spans="1:27" s="4" customFormat="1" ht="51.95" customHeight="1">
      <c r="A363" s="5">
        <v>0</v>
      </c>
      <c r="B363" s="6" t="s">
        <v>2384</v>
      </c>
      <c r="C363" s="7">
        <v>434.9</v>
      </c>
      <c r="D363" s="8" t="s">
        <v>2385</v>
      </c>
      <c r="E363" s="8" t="s">
        <v>2386</v>
      </c>
      <c r="F363" s="8" t="s">
        <v>2387</v>
      </c>
      <c r="G363" s="6" t="s">
        <v>119</v>
      </c>
      <c r="H363" s="6" t="s">
        <v>131</v>
      </c>
      <c r="I363" s="8" t="s">
        <v>132</v>
      </c>
      <c r="J363" s="9">
        <v>1</v>
      </c>
      <c r="K363" s="9">
        <v>144</v>
      </c>
      <c r="L363" s="9">
        <v>2018</v>
      </c>
      <c r="M363" s="8" t="s">
        <v>2388</v>
      </c>
      <c r="N363" s="8" t="s">
        <v>41</v>
      </c>
      <c r="O363" s="8" t="s">
        <v>42</v>
      </c>
      <c r="P363" s="6" t="s">
        <v>43</v>
      </c>
      <c r="Q363" s="8" t="s">
        <v>75</v>
      </c>
      <c r="R363" s="10"/>
      <c r="S363" s="11" t="s">
        <v>2389</v>
      </c>
      <c r="T363" s="6"/>
      <c r="U363" s="27" t="str">
        <f>HYPERLINK("https://media.infra-m.ru/0944/0944314/cover/944314.jpg", "Обложка")</f>
        <v>Обложка</v>
      </c>
      <c r="V363" s="12"/>
      <c r="W363" s="8" t="s">
        <v>665</v>
      </c>
      <c r="X363" s="6"/>
      <c r="Y363" s="6"/>
      <c r="Z363" s="6"/>
      <c r="AA363" s="6" t="s">
        <v>290</v>
      </c>
    </row>
    <row r="364" spans="1:27" s="4" customFormat="1" ht="51.95" customHeight="1">
      <c r="A364" s="5">
        <v>0</v>
      </c>
      <c r="B364" s="6" t="s">
        <v>2390</v>
      </c>
      <c r="C364" s="13">
        <v>1340</v>
      </c>
      <c r="D364" s="8" t="s">
        <v>2391</v>
      </c>
      <c r="E364" s="8" t="s">
        <v>2392</v>
      </c>
      <c r="F364" s="8" t="s">
        <v>2393</v>
      </c>
      <c r="G364" s="6" t="s">
        <v>92</v>
      </c>
      <c r="H364" s="6" t="s">
        <v>38</v>
      </c>
      <c r="I364" s="8" t="s">
        <v>73</v>
      </c>
      <c r="J364" s="9">
        <v>1</v>
      </c>
      <c r="K364" s="9">
        <v>316</v>
      </c>
      <c r="L364" s="9">
        <v>2022</v>
      </c>
      <c r="M364" s="8" t="s">
        <v>2394</v>
      </c>
      <c r="N364" s="8" t="s">
        <v>41</v>
      </c>
      <c r="O364" s="8" t="s">
        <v>42</v>
      </c>
      <c r="P364" s="6" t="s">
        <v>43</v>
      </c>
      <c r="Q364" s="8" t="s">
        <v>75</v>
      </c>
      <c r="R364" s="10" t="s">
        <v>2395</v>
      </c>
      <c r="S364" s="11" t="s">
        <v>2396</v>
      </c>
      <c r="T364" s="6"/>
      <c r="U364" s="27" t="str">
        <f>HYPERLINK("https://media.infra-m.ru/1083/1083294/cover/1083294.jpg", "Обложка")</f>
        <v>Обложка</v>
      </c>
      <c r="V364" s="27" t="str">
        <f>HYPERLINK("https://znanium.com/catalog/product/1083294", "Ознакомиться")</f>
        <v>Ознакомиться</v>
      </c>
      <c r="W364" s="8" t="s">
        <v>180</v>
      </c>
      <c r="X364" s="6"/>
      <c r="Y364" s="6"/>
      <c r="Z364" s="6"/>
      <c r="AA364" s="6" t="s">
        <v>204</v>
      </c>
    </row>
    <row r="365" spans="1:27" s="4" customFormat="1" ht="51.95" customHeight="1">
      <c r="A365" s="5">
        <v>0</v>
      </c>
      <c r="B365" s="6" t="s">
        <v>2397</v>
      </c>
      <c r="C365" s="13">
        <v>1410</v>
      </c>
      <c r="D365" s="8" t="s">
        <v>2398</v>
      </c>
      <c r="E365" s="8" t="s">
        <v>2399</v>
      </c>
      <c r="F365" s="8" t="s">
        <v>2400</v>
      </c>
      <c r="G365" s="6" t="s">
        <v>37</v>
      </c>
      <c r="H365" s="6" t="s">
        <v>38</v>
      </c>
      <c r="I365" s="8" t="s">
        <v>53</v>
      </c>
      <c r="J365" s="9">
        <v>1</v>
      </c>
      <c r="K365" s="9">
        <v>307</v>
      </c>
      <c r="L365" s="9">
        <v>2023</v>
      </c>
      <c r="M365" s="8" t="s">
        <v>2401</v>
      </c>
      <c r="N365" s="8" t="s">
        <v>41</v>
      </c>
      <c r="O365" s="8" t="s">
        <v>42</v>
      </c>
      <c r="P365" s="6" t="s">
        <v>43</v>
      </c>
      <c r="Q365" s="8" t="s">
        <v>56</v>
      </c>
      <c r="R365" s="10" t="s">
        <v>2402</v>
      </c>
      <c r="S365" s="11" t="s">
        <v>2403</v>
      </c>
      <c r="T365" s="6"/>
      <c r="U365" s="27" t="str">
        <f>HYPERLINK("https://media.infra-m.ru/2058/2058738/cover/2058738.jpg", "Обложка")</f>
        <v>Обложка</v>
      </c>
      <c r="V365" s="27" t="str">
        <f>HYPERLINK("https://znanium.com/catalog/product/2058738", "Ознакомиться")</f>
        <v>Ознакомиться</v>
      </c>
      <c r="W365" s="8" t="s">
        <v>803</v>
      </c>
      <c r="X365" s="6"/>
      <c r="Y365" s="6"/>
      <c r="Z365" s="6"/>
      <c r="AA365" s="6" t="s">
        <v>172</v>
      </c>
    </row>
    <row r="366" spans="1:27" s="4" customFormat="1" ht="51.95" customHeight="1">
      <c r="A366" s="5">
        <v>0</v>
      </c>
      <c r="B366" s="6" t="s">
        <v>2404</v>
      </c>
      <c r="C366" s="7">
        <v>830</v>
      </c>
      <c r="D366" s="8" t="s">
        <v>2405</v>
      </c>
      <c r="E366" s="8" t="s">
        <v>2406</v>
      </c>
      <c r="F366" s="8" t="s">
        <v>2407</v>
      </c>
      <c r="G366" s="6" t="s">
        <v>37</v>
      </c>
      <c r="H366" s="6" t="s">
        <v>38</v>
      </c>
      <c r="I366" s="8" t="s">
        <v>53</v>
      </c>
      <c r="J366" s="9">
        <v>1</v>
      </c>
      <c r="K366" s="9">
        <v>176</v>
      </c>
      <c r="L366" s="9">
        <v>2023</v>
      </c>
      <c r="M366" s="8" t="s">
        <v>2408</v>
      </c>
      <c r="N366" s="8" t="s">
        <v>41</v>
      </c>
      <c r="O366" s="8" t="s">
        <v>502</v>
      </c>
      <c r="P366" s="6" t="s">
        <v>55</v>
      </c>
      <c r="Q366" s="8" t="s">
        <v>56</v>
      </c>
      <c r="R366" s="10" t="s">
        <v>2409</v>
      </c>
      <c r="S366" s="11" t="s">
        <v>2410</v>
      </c>
      <c r="T366" s="6"/>
      <c r="U366" s="27" t="str">
        <f>HYPERLINK("https://media.infra-m.ru/1903/1903875/cover/1903875.jpg", "Обложка")</f>
        <v>Обложка</v>
      </c>
      <c r="V366" s="27" t="str">
        <f>HYPERLINK("https://znanium.com/catalog/product/1903875", "Ознакомиться")</f>
        <v>Ознакомиться</v>
      </c>
      <c r="W366" s="8" t="s">
        <v>1024</v>
      </c>
      <c r="X366" s="6"/>
      <c r="Y366" s="6"/>
      <c r="Z366" s="6" t="s">
        <v>60</v>
      </c>
      <c r="AA366" s="6" t="s">
        <v>299</v>
      </c>
    </row>
    <row r="367" spans="1:27" s="4" customFormat="1" ht="51.95" customHeight="1">
      <c r="A367" s="5">
        <v>0</v>
      </c>
      <c r="B367" s="6" t="s">
        <v>2411</v>
      </c>
      <c r="C367" s="13">
        <v>2030</v>
      </c>
      <c r="D367" s="8" t="s">
        <v>2412</v>
      </c>
      <c r="E367" s="8" t="s">
        <v>2413</v>
      </c>
      <c r="F367" s="8" t="s">
        <v>1404</v>
      </c>
      <c r="G367" s="6" t="s">
        <v>37</v>
      </c>
      <c r="H367" s="6" t="s">
        <v>38</v>
      </c>
      <c r="I367" s="8" t="s">
        <v>53</v>
      </c>
      <c r="J367" s="9">
        <v>1</v>
      </c>
      <c r="K367" s="9">
        <v>536</v>
      </c>
      <c r="L367" s="9">
        <v>2022</v>
      </c>
      <c r="M367" s="8" t="s">
        <v>2414</v>
      </c>
      <c r="N367" s="8" t="s">
        <v>41</v>
      </c>
      <c r="O367" s="8" t="s">
        <v>42</v>
      </c>
      <c r="P367" s="6" t="s">
        <v>55</v>
      </c>
      <c r="Q367" s="8" t="s">
        <v>56</v>
      </c>
      <c r="R367" s="10" t="s">
        <v>2415</v>
      </c>
      <c r="S367" s="11" t="s">
        <v>2416</v>
      </c>
      <c r="T367" s="6"/>
      <c r="U367" s="27" t="str">
        <f>HYPERLINK("https://media.infra-m.ru/1836/1836594/cover/1836594.jpg", "Обложка")</f>
        <v>Обложка</v>
      </c>
      <c r="V367" s="27" t="str">
        <f>HYPERLINK("https://znanium.com/catalog/product/1836594", "Ознакомиться")</f>
        <v>Ознакомиться</v>
      </c>
      <c r="W367" s="8" t="s">
        <v>1407</v>
      </c>
      <c r="X367" s="6"/>
      <c r="Y367" s="6"/>
      <c r="Z367" s="6" t="s">
        <v>60</v>
      </c>
      <c r="AA367" s="6" t="s">
        <v>299</v>
      </c>
    </row>
    <row r="368" spans="1:27" s="4" customFormat="1" ht="51.95" customHeight="1">
      <c r="A368" s="5">
        <v>0</v>
      </c>
      <c r="B368" s="6" t="s">
        <v>2417</v>
      </c>
      <c r="C368" s="13">
        <v>2600</v>
      </c>
      <c r="D368" s="8" t="s">
        <v>2418</v>
      </c>
      <c r="E368" s="8" t="s">
        <v>2413</v>
      </c>
      <c r="F368" s="8" t="s">
        <v>1404</v>
      </c>
      <c r="G368" s="6" t="s">
        <v>92</v>
      </c>
      <c r="H368" s="6" t="s">
        <v>38</v>
      </c>
      <c r="I368" s="8" t="s">
        <v>73</v>
      </c>
      <c r="J368" s="9">
        <v>1</v>
      </c>
      <c r="K368" s="9">
        <v>536</v>
      </c>
      <c r="L368" s="9">
        <v>2023</v>
      </c>
      <c r="M368" s="8" t="s">
        <v>2419</v>
      </c>
      <c r="N368" s="8" t="s">
        <v>41</v>
      </c>
      <c r="O368" s="8" t="s">
        <v>42</v>
      </c>
      <c r="P368" s="6" t="s">
        <v>55</v>
      </c>
      <c r="Q368" s="8" t="s">
        <v>75</v>
      </c>
      <c r="R368" s="10" t="s">
        <v>2415</v>
      </c>
      <c r="S368" s="11" t="s">
        <v>2420</v>
      </c>
      <c r="T368" s="6"/>
      <c r="U368" s="27" t="str">
        <f>HYPERLINK("https://media.infra-m.ru/2122/2122942/cover/2122942.jpg", "Обложка")</f>
        <v>Обложка</v>
      </c>
      <c r="V368" s="27" t="str">
        <f>HYPERLINK("https://znanium.com/catalog/product/2122942", "Ознакомиться")</f>
        <v>Ознакомиться</v>
      </c>
      <c r="W368" s="8" t="s">
        <v>1407</v>
      </c>
      <c r="X368" s="6"/>
      <c r="Y368" s="6"/>
      <c r="Z368" s="6"/>
      <c r="AA368" s="6" t="s">
        <v>222</v>
      </c>
    </row>
    <row r="369" spans="1:27" s="4" customFormat="1" ht="51.95" customHeight="1">
      <c r="A369" s="5">
        <v>0</v>
      </c>
      <c r="B369" s="6" t="s">
        <v>2421</v>
      </c>
      <c r="C369" s="13">
        <v>1474</v>
      </c>
      <c r="D369" s="8" t="s">
        <v>2422</v>
      </c>
      <c r="E369" s="8" t="s">
        <v>2423</v>
      </c>
      <c r="F369" s="8" t="s">
        <v>2424</v>
      </c>
      <c r="G369" s="6" t="s">
        <v>37</v>
      </c>
      <c r="H369" s="6" t="s">
        <v>38</v>
      </c>
      <c r="I369" s="8" t="s">
        <v>73</v>
      </c>
      <c r="J369" s="9">
        <v>1</v>
      </c>
      <c r="K369" s="9">
        <v>320</v>
      </c>
      <c r="L369" s="9">
        <v>2024</v>
      </c>
      <c r="M369" s="8" t="s">
        <v>2425</v>
      </c>
      <c r="N369" s="8" t="s">
        <v>41</v>
      </c>
      <c r="O369" s="8" t="s">
        <v>42</v>
      </c>
      <c r="P369" s="6" t="s">
        <v>43</v>
      </c>
      <c r="Q369" s="8" t="s">
        <v>75</v>
      </c>
      <c r="R369" s="10" t="s">
        <v>2426</v>
      </c>
      <c r="S369" s="11" t="s">
        <v>2427</v>
      </c>
      <c r="T369" s="6" t="s">
        <v>59</v>
      </c>
      <c r="U369" s="27" t="str">
        <f>HYPERLINK("https://media.infra-m.ru/2087/2087288/cover/2087288.jpg", "Обложка")</f>
        <v>Обложка</v>
      </c>
      <c r="V369" s="27" t="str">
        <f>HYPERLINK("https://znanium.com/catalog/product/1867626", "Ознакомиться")</f>
        <v>Ознакомиться</v>
      </c>
      <c r="W369" s="8" t="s">
        <v>2428</v>
      </c>
      <c r="X369" s="6"/>
      <c r="Y369" s="6"/>
      <c r="Z369" s="6"/>
      <c r="AA369" s="6" t="s">
        <v>346</v>
      </c>
    </row>
    <row r="370" spans="1:27" s="4" customFormat="1" ht="51.95" customHeight="1">
      <c r="A370" s="5">
        <v>0</v>
      </c>
      <c r="B370" s="6" t="s">
        <v>2429</v>
      </c>
      <c r="C370" s="7">
        <v>800</v>
      </c>
      <c r="D370" s="8" t="s">
        <v>2430</v>
      </c>
      <c r="E370" s="8" t="s">
        <v>2406</v>
      </c>
      <c r="F370" s="8" t="s">
        <v>2407</v>
      </c>
      <c r="G370" s="6" t="s">
        <v>37</v>
      </c>
      <c r="H370" s="6" t="s">
        <v>38</v>
      </c>
      <c r="I370" s="8" t="s">
        <v>73</v>
      </c>
      <c r="J370" s="9">
        <v>1</v>
      </c>
      <c r="K370" s="9">
        <v>176</v>
      </c>
      <c r="L370" s="9">
        <v>2023</v>
      </c>
      <c r="M370" s="8" t="s">
        <v>2431</v>
      </c>
      <c r="N370" s="8" t="s">
        <v>41</v>
      </c>
      <c r="O370" s="8" t="s">
        <v>502</v>
      </c>
      <c r="P370" s="6" t="s">
        <v>55</v>
      </c>
      <c r="Q370" s="8" t="s">
        <v>75</v>
      </c>
      <c r="R370" s="10" t="s">
        <v>2432</v>
      </c>
      <c r="S370" s="11" t="s">
        <v>2433</v>
      </c>
      <c r="T370" s="6"/>
      <c r="U370" s="27" t="str">
        <f>HYPERLINK("https://media.infra-m.ru/1904/1904786/cover/1904786.jpg", "Обложка")</f>
        <v>Обложка</v>
      </c>
      <c r="V370" s="27" t="str">
        <f>HYPERLINK("https://znanium.com/catalog/product/1904786", "Ознакомиться")</f>
        <v>Ознакомиться</v>
      </c>
      <c r="W370" s="8" t="s">
        <v>1024</v>
      </c>
      <c r="X370" s="6"/>
      <c r="Y370" s="6"/>
      <c r="Z370" s="6"/>
      <c r="AA370" s="6" t="s">
        <v>114</v>
      </c>
    </row>
    <row r="371" spans="1:27" s="4" customFormat="1" ht="51.95" customHeight="1">
      <c r="A371" s="5">
        <v>0</v>
      </c>
      <c r="B371" s="6" t="s">
        <v>2434</v>
      </c>
      <c r="C371" s="13">
        <v>1684.9</v>
      </c>
      <c r="D371" s="8" t="s">
        <v>2435</v>
      </c>
      <c r="E371" s="8" t="s">
        <v>2436</v>
      </c>
      <c r="F371" s="8" t="s">
        <v>1404</v>
      </c>
      <c r="G371" s="6" t="s">
        <v>37</v>
      </c>
      <c r="H371" s="6" t="s">
        <v>38</v>
      </c>
      <c r="I371" s="8" t="s">
        <v>53</v>
      </c>
      <c r="J371" s="9">
        <v>1</v>
      </c>
      <c r="K371" s="9">
        <v>375</v>
      </c>
      <c r="L371" s="9">
        <v>2023</v>
      </c>
      <c r="M371" s="8" t="s">
        <v>2437</v>
      </c>
      <c r="N371" s="8" t="s">
        <v>41</v>
      </c>
      <c r="O371" s="8" t="s">
        <v>42</v>
      </c>
      <c r="P371" s="6" t="s">
        <v>55</v>
      </c>
      <c r="Q371" s="8" t="s">
        <v>56</v>
      </c>
      <c r="R371" s="10" t="s">
        <v>163</v>
      </c>
      <c r="S371" s="11" t="s">
        <v>628</v>
      </c>
      <c r="T371" s="6"/>
      <c r="U371" s="27" t="str">
        <f>HYPERLINK("https://media.infra-m.ru/1965/1965766/cover/1965766.jpg", "Обложка")</f>
        <v>Обложка</v>
      </c>
      <c r="V371" s="27" t="str">
        <f>HYPERLINK("https://znanium.com/catalog/product/1209851", "Ознакомиться")</f>
        <v>Ознакомиться</v>
      </c>
      <c r="W371" s="8" t="s">
        <v>1407</v>
      </c>
      <c r="X371" s="6"/>
      <c r="Y371" s="6"/>
      <c r="Z371" s="6" t="s">
        <v>60</v>
      </c>
      <c r="AA371" s="6" t="s">
        <v>126</v>
      </c>
    </row>
    <row r="372" spans="1:27" s="4" customFormat="1" ht="51.95" customHeight="1">
      <c r="A372" s="5">
        <v>0</v>
      </c>
      <c r="B372" s="6" t="s">
        <v>2438</v>
      </c>
      <c r="C372" s="13">
        <v>1430</v>
      </c>
      <c r="D372" s="8" t="s">
        <v>2439</v>
      </c>
      <c r="E372" s="8" t="s">
        <v>2436</v>
      </c>
      <c r="F372" s="8" t="s">
        <v>1404</v>
      </c>
      <c r="G372" s="6" t="s">
        <v>37</v>
      </c>
      <c r="H372" s="6" t="s">
        <v>38</v>
      </c>
      <c r="I372" s="8" t="s">
        <v>73</v>
      </c>
      <c r="J372" s="9">
        <v>1</v>
      </c>
      <c r="K372" s="9">
        <v>375</v>
      </c>
      <c r="L372" s="9">
        <v>2022</v>
      </c>
      <c r="M372" s="8" t="s">
        <v>2440</v>
      </c>
      <c r="N372" s="8" t="s">
        <v>41</v>
      </c>
      <c r="O372" s="8" t="s">
        <v>42</v>
      </c>
      <c r="P372" s="6" t="s">
        <v>55</v>
      </c>
      <c r="Q372" s="8" t="s">
        <v>75</v>
      </c>
      <c r="R372" s="10" t="s">
        <v>2199</v>
      </c>
      <c r="S372" s="11" t="s">
        <v>2441</v>
      </c>
      <c r="T372" s="6"/>
      <c r="U372" s="27" t="str">
        <f>HYPERLINK("https://media.infra-m.ru/1855/1855507/cover/1855507.jpg", "Обложка")</f>
        <v>Обложка</v>
      </c>
      <c r="V372" s="27" t="str">
        <f>HYPERLINK("https://znanium.com/catalog/product/1855507", "Ознакомиться")</f>
        <v>Ознакомиться</v>
      </c>
      <c r="W372" s="8" t="s">
        <v>1407</v>
      </c>
      <c r="X372" s="6"/>
      <c r="Y372" s="6"/>
      <c r="Z372" s="6"/>
      <c r="AA372" s="6" t="s">
        <v>61</v>
      </c>
    </row>
    <row r="373" spans="1:27" s="4" customFormat="1" ht="51.95" customHeight="1">
      <c r="A373" s="5">
        <v>0</v>
      </c>
      <c r="B373" s="6" t="s">
        <v>2442</v>
      </c>
      <c r="C373" s="13">
        <v>1614</v>
      </c>
      <c r="D373" s="8" t="s">
        <v>2443</v>
      </c>
      <c r="E373" s="8" t="s">
        <v>2444</v>
      </c>
      <c r="F373" s="8" t="s">
        <v>2445</v>
      </c>
      <c r="G373" s="6" t="s">
        <v>92</v>
      </c>
      <c r="H373" s="6" t="s">
        <v>424</v>
      </c>
      <c r="I373" s="8" t="s">
        <v>2446</v>
      </c>
      <c r="J373" s="9">
        <v>1</v>
      </c>
      <c r="K373" s="9">
        <v>352</v>
      </c>
      <c r="L373" s="9">
        <v>2024</v>
      </c>
      <c r="M373" s="8" t="s">
        <v>2447</v>
      </c>
      <c r="N373" s="8" t="s">
        <v>41</v>
      </c>
      <c r="O373" s="8" t="s">
        <v>42</v>
      </c>
      <c r="P373" s="6" t="s">
        <v>55</v>
      </c>
      <c r="Q373" s="8" t="s">
        <v>75</v>
      </c>
      <c r="R373" s="10" t="s">
        <v>2448</v>
      </c>
      <c r="S373" s="11" t="s">
        <v>2449</v>
      </c>
      <c r="T373" s="6"/>
      <c r="U373" s="27" t="str">
        <f>HYPERLINK("https://media.infra-m.ru/2079/2079685/cover/2079685.jpg", "Обложка")</f>
        <v>Обложка</v>
      </c>
      <c r="V373" s="27" t="str">
        <f>HYPERLINK("https://znanium.com/catalog/product/1831182", "Ознакомиться")</f>
        <v>Ознакомиться</v>
      </c>
      <c r="W373" s="8" t="s">
        <v>404</v>
      </c>
      <c r="X373" s="6"/>
      <c r="Y373" s="6"/>
      <c r="Z373" s="6"/>
      <c r="AA373" s="6" t="s">
        <v>47</v>
      </c>
    </row>
    <row r="374" spans="1:27" s="4" customFormat="1" ht="51.95" customHeight="1">
      <c r="A374" s="5">
        <v>0</v>
      </c>
      <c r="B374" s="6" t="s">
        <v>2450</v>
      </c>
      <c r="C374" s="13">
        <v>1390</v>
      </c>
      <c r="D374" s="8" t="s">
        <v>2451</v>
      </c>
      <c r="E374" s="8" t="s">
        <v>2452</v>
      </c>
      <c r="F374" s="8" t="s">
        <v>874</v>
      </c>
      <c r="G374" s="6" t="s">
        <v>92</v>
      </c>
      <c r="H374" s="6" t="s">
        <v>38</v>
      </c>
      <c r="I374" s="8" t="s">
        <v>73</v>
      </c>
      <c r="J374" s="9">
        <v>1</v>
      </c>
      <c r="K374" s="9">
        <v>346</v>
      </c>
      <c r="L374" s="9">
        <v>2022</v>
      </c>
      <c r="M374" s="8" t="s">
        <v>2453</v>
      </c>
      <c r="N374" s="8" t="s">
        <v>41</v>
      </c>
      <c r="O374" s="8" t="s">
        <v>42</v>
      </c>
      <c r="P374" s="6" t="s">
        <v>43</v>
      </c>
      <c r="Q374" s="8" t="s">
        <v>75</v>
      </c>
      <c r="R374" s="10" t="s">
        <v>2454</v>
      </c>
      <c r="S374" s="11" t="s">
        <v>2455</v>
      </c>
      <c r="T374" s="6"/>
      <c r="U374" s="27" t="str">
        <f>HYPERLINK("https://media.infra-m.ru/1225/1225039/cover/1225039.jpg", "Обложка")</f>
        <v>Обложка</v>
      </c>
      <c r="V374" s="27" t="str">
        <f>HYPERLINK("https://znanium.com/catalog/product/1225039", "Ознакомиться")</f>
        <v>Ознакомиться</v>
      </c>
      <c r="W374" s="8" t="s">
        <v>419</v>
      </c>
      <c r="X374" s="6"/>
      <c r="Y374" s="6"/>
      <c r="Z374" s="6"/>
      <c r="AA374" s="6" t="s">
        <v>204</v>
      </c>
    </row>
    <row r="375" spans="1:27" s="4" customFormat="1" ht="51.95" customHeight="1">
      <c r="A375" s="5">
        <v>0</v>
      </c>
      <c r="B375" s="6" t="s">
        <v>2456</v>
      </c>
      <c r="C375" s="13">
        <v>1320</v>
      </c>
      <c r="D375" s="8" t="s">
        <v>2457</v>
      </c>
      <c r="E375" s="8" t="s">
        <v>2452</v>
      </c>
      <c r="F375" s="8" t="s">
        <v>874</v>
      </c>
      <c r="G375" s="6" t="s">
        <v>92</v>
      </c>
      <c r="H375" s="6" t="s">
        <v>38</v>
      </c>
      <c r="I375" s="8" t="s">
        <v>53</v>
      </c>
      <c r="J375" s="9">
        <v>1</v>
      </c>
      <c r="K375" s="9">
        <v>346</v>
      </c>
      <c r="L375" s="9">
        <v>2022</v>
      </c>
      <c r="M375" s="8" t="s">
        <v>2458</v>
      </c>
      <c r="N375" s="8" t="s">
        <v>41</v>
      </c>
      <c r="O375" s="8" t="s">
        <v>42</v>
      </c>
      <c r="P375" s="6" t="s">
        <v>43</v>
      </c>
      <c r="Q375" s="8" t="s">
        <v>56</v>
      </c>
      <c r="R375" s="10" t="s">
        <v>2459</v>
      </c>
      <c r="S375" s="11" t="s">
        <v>2460</v>
      </c>
      <c r="T375" s="6"/>
      <c r="U375" s="27" t="str">
        <f>HYPERLINK("https://media.infra-m.ru/1850/1850731/cover/1850731.jpg", "Обложка")</f>
        <v>Обложка</v>
      </c>
      <c r="V375" s="27" t="str">
        <f>HYPERLINK("https://znanium.com/catalog/product/1850731", "Ознакомиться")</f>
        <v>Ознакомиться</v>
      </c>
      <c r="W375" s="8" t="s">
        <v>419</v>
      </c>
      <c r="X375" s="6"/>
      <c r="Y375" s="6"/>
      <c r="Z375" s="6" t="s">
        <v>60</v>
      </c>
      <c r="AA375" s="6" t="s">
        <v>204</v>
      </c>
    </row>
    <row r="376" spans="1:27" s="4" customFormat="1" ht="51.95" customHeight="1">
      <c r="A376" s="5">
        <v>0</v>
      </c>
      <c r="B376" s="6" t="s">
        <v>2461</v>
      </c>
      <c r="C376" s="13">
        <v>1180</v>
      </c>
      <c r="D376" s="8" t="s">
        <v>2462</v>
      </c>
      <c r="E376" s="8" t="s">
        <v>2463</v>
      </c>
      <c r="F376" s="8" t="s">
        <v>2464</v>
      </c>
      <c r="G376" s="6" t="s">
        <v>119</v>
      </c>
      <c r="H376" s="6" t="s">
        <v>1430</v>
      </c>
      <c r="I376" s="8"/>
      <c r="J376" s="9">
        <v>1</v>
      </c>
      <c r="K376" s="9">
        <v>256</v>
      </c>
      <c r="L376" s="9">
        <v>2024</v>
      </c>
      <c r="M376" s="8" t="s">
        <v>2465</v>
      </c>
      <c r="N376" s="8" t="s">
        <v>41</v>
      </c>
      <c r="O376" s="8" t="s">
        <v>42</v>
      </c>
      <c r="P376" s="6" t="s">
        <v>55</v>
      </c>
      <c r="Q376" s="8" t="s">
        <v>75</v>
      </c>
      <c r="R376" s="10" t="s">
        <v>178</v>
      </c>
      <c r="S376" s="11" t="s">
        <v>2466</v>
      </c>
      <c r="T376" s="6"/>
      <c r="U376" s="27" t="str">
        <f>HYPERLINK("https://media.infra-m.ru/2073/2073478/cover/2073478.jpg", "Обложка")</f>
        <v>Обложка</v>
      </c>
      <c r="V376" s="27" t="str">
        <f>HYPERLINK("https://znanium.com/catalog/product/2073478", "Ознакомиться")</f>
        <v>Ознакомиться</v>
      </c>
      <c r="W376" s="8" t="s">
        <v>314</v>
      </c>
      <c r="X376" s="6"/>
      <c r="Y376" s="6"/>
      <c r="Z376" s="6"/>
      <c r="AA376" s="6" t="s">
        <v>346</v>
      </c>
    </row>
    <row r="377" spans="1:27" s="4" customFormat="1" ht="42" customHeight="1">
      <c r="A377" s="5">
        <v>0</v>
      </c>
      <c r="B377" s="6" t="s">
        <v>2467</v>
      </c>
      <c r="C377" s="13">
        <v>1324</v>
      </c>
      <c r="D377" s="8" t="s">
        <v>2468</v>
      </c>
      <c r="E377" s="8" t="s">
        <v>2469</v>
      </c>
      <c r="F377" s="8" t="s">
        <v>2470</v>
      </c>
      <c r="G377" s="6" t="s">
        <v>92</v>
      </c>
      <c r="H377" s="6" t="s">
        <v>38</v>
      </c>
      <c r="I377" s="8" t="s">
        <v>73</v>
      </c>
      <c r="J377" s="9">
        <v>1</v>
      </c>
      <c r="K377" s="9">
        <v>287</v>
      </c>
      <c r="L377" s="9">
        <v>2024</v>
      </c>
      <c r="M377" s="8" t="s">
        <v>2471</v>
      </c>
      <c r="N377" s="8" t="s">
        <v>41</v>
      </c>
      <c r="O377" s="8" t="s">
        <v>42</v>
      </c>
      <c r="P377" s="6" t="s">
        <v>43</v>
      </c>
      <c r="Q377" s="8" t="s">
        <v>75</v>
      </c>
      <c r="R377" s="10" t="s">
        <v>2472</v>
      </c>
      <c r="S377" s="11"/>
      <c r="T377" s="6"/>
      <c r="U377" s="27" t="str">
        <f>HYPERLINK("https://media.infra-m.ru/2087/2087296/cover/2087296.jpg", "Обложка")</f>
        <v>Обложка</v>
      </c>
      <c r="V377" s="27" t="str">
        <f>HYPERLINK("https://znanium.com/catalog/product/1009620", "Ознакомиться")</f>
        <v>Ознакомиться</v>
      </c>
      <c r="W377" s="8" t="s">
        <v>2473</v>
      </c>
      <c r="X377" s="6"/>
      <c r="Y377" s="6"/>
      <c r="Z377" s="6"/>
      <c r="AA377" s="6" t="s">
        <v>106</v>
      </c>
    </row>
    <row r="378" spans="1:27" s="4" customFormat="1" ht="51.95" customHeight="1">
      <c r="A378" s="5">
        <v>0</v>
      </c>
      <c r="B378" s="6" t="s">
        <v>2474</v>
      </c>
      <c r="C378" s="13">
        <v>1180</v>
      </c>
      <c r="D378" s="8" t="s">
        <v>2475</v>
      </c>
      <c r="E378" s="8" t="s">
        <v>2476</v>
      </c>
      <c r="F378" s="8" t="s">
        <v>2477</v>
      </c>
      <c r="G378" s="6" t="s">
        <v>119</v>
      </c>
      <c r="H378" s="6" t="s">
        <v>1430</v>
      </c>
      <c r="I378" s="8"/>
      <c r="J378" s="9">
        <v>1</v>
      </c>
      <c r="K378" s="9">
        <v>256</v>
      </c>
      <c r="L378" s="9">
        <v>2024</v>
      </c>
      <c r="M378" s="8" t="s">
        <v>2478</v>
      </c>
      <c r="N378" s="8" t="s">
        <v>41</v>
      </c>
      <c r="O378" s="8" t="s">
        <v>42</v>
      </c>
      <c r="P378" s="6" t="s">
        <v>55</v>
      </c>
      <c r="Q378" s="8" t="s">
        <v>75</v>
      </c>
      <c r="R378" s="10" t="s">
        <v>2479</v>
      </c>
      <c r="S378" s="11"/>
      <c r="T378" s="6"/>
      <c r="U378" s="27" t="str">
        <f>HYPERLINK("https://media.infra-m.ru/2084/2084243/cover/2084243.jpg", "Обложка")</f>
        <v>Обложка</v>
      </c>
      <c r="V378" s="27" t="str">
        <f>HYPERLINK("https://znanium.com/catalog/product/1006197", "Ознакомиться")</f>
        <v>Ознакомиться</v>
      </c>
      <c r="W378" s="8" t="s">
        <v>314</v>
      </c>
      <c r="X378" s="6"/>
      <c r="Y378" s="6"/>
      <c r="Z378" s="6"/>
      <c r="AA378" s="6" t="s">
        <v>106</v>
      </c>
    </row>
    <row r="379" spans="1:27" s="4" customFormat="1" ht="42" customHeight="1">
      <c r="A379" s="5">
        <v>0</v>
      </c>
      <c r="B379" s="6" t="s">
        <v>2480</v>
      </c>
      <c r="C379" s="7">
        <v>944.9</v>
      </c>
      <c r="D379" s="8" t="s">
        <v>2481</v>
      </c>
      <c r="E379" s="8" t="s">
        <v>2482</v>
      </c>
      <c r="F379" s="8" t="s">
        <v>2483</v>
      </c>
      <c r="G379" s="6" t="s">
        <v>119</v>
      </c>
      <c r="H379" s="6" t="s">
        <v>1430</v>
      </c>
      <c r="I379" s="8"/>
      <c r="J379" s="9">
        <v>1</v>
      </c>
      <c r="K379" s="9">
        <v>224</v>
      </c>
      <c r="L379" s="9">
        <v>2022</v>
      </c>
      <c r="M379" s="8" t="s">
        <v>2484</v>
      </c>
      <c r="N379" s="8" t="s">
        <v>41</v>
      </c>
      <c r="O379" s="8" t="s">
        <v>42</v>
      </c>
      <c r="P379" s="6" t="s">
        <v>43</v>
      </c>
      <c r="Q379" s="8" t="s">
        <v>75</v>
      </c>
      <c r="R379" s="10" t="s">
        <v>353</v>
      </c>
      <c r="S379" s="11"/>
      <c r="T379" s="6"/>
      <c r="U379" s="27" t="str">
        <f>HYPERLINK("https://media.infra-m.ru/1876/1876486/cover/1876486.jpg", "Обложка")</f>
        <v>Обложка</v>
      </c>
      <c r="V379" s="27" t="str">
        <f>HYPERLINK("https://znanium.com/catalog/product/1045673", "Ознакомиться")</f>
        <v>Ознакомиться</v>
      </c>
      <c r="W379" s="8"/>
      <c r="X379" s="6"/>
      <c r="Y379" s="6"/>
      <c r="Z379" s="6"/>
      <c r="AA379" s="6" t="s">
        <v>346</v>
      </c>
    </row>
    <row r="380" spans="1:27" s="4" customFormat="1" ht="51.95" customHeight="1">
      <c r="A380" s="5">
        <v>0</v>
      </c>
      <c r="B380" s="6" t="s">
        <v>2485</v>
      </c>
      <c r="C380" s="7">
        <v>794.9</v>
      </c>
      <c r="D380" s="8" t="s">
        <v>2486</v>
      </c>
      <c r="E380" s="8" t="s">
        <v>2487</v>
      </c>
      <c r="F380" s="8" t="s">
        <v>2488</v>
      </c>
      <c r="G380" s="6" t="s">
        <v>92</v>
      </c>
      <c r="H380" s="6" t="s">
        <v>38</v>
      </c>
      <c r="I380" s="8" t="s">
        <v>53</v>
      </c>
      <c r="J380" s="9">
        <v>1</v>
      </c>
      <c r="K380" s="9">
        <v>176</v>
      </c>
      <c r="L380" s="9">
        <v>2023</v>
      </c>
      <c r="M380" s="8" t="s">
        <v>2489</v>
      </c>
      <c r="N380" s="8" t="s">
        <v>41</v>
      </c>
      <c r="O380" s="8" t="s">
        <v>42</v>
      </c>
      <c r="P380" s="6" t="s">
        <v>43</v>
      </c>
      <c r="Q380" s="8" t="s">
        <v>56</v>
      </c>
      <c r="R380" s="10" t="s">
        <v>528</v>
      </c>
      <c r="S380" s="11" t="s">
        <v>2490</v>
      </c>
      <c r="T380" s="6"/>
      <c r="U380" s="27" t="str">
        <f>HYPERLINK("https://media.infra-m.ru/1896/1896431/cover/1896431.jpg", "Обложка")</f>
        <v>Обложка</v>
      </c>
      <c r="V380" s="27" t="str">
        <f>HYPERLINK("https://znanium.com/catalog/product/1871022", "Ознакомиться")</f>
        <v>Ознакомиться</v>
      </c>
      <c r="W380" s="8" t="s">
        <v>2491</v>
      </c>
      <c r="X380" s="6"/>
      <c r="Y380" s="6"/>
      <c r="Z380" s="6" t="s">
        <v>60</v>
      </c>
      <c r="AA380" s="6" t="s">
        <v>172</v>
      </c>
    </row>
    <row r="381" spans="1:27" s="4" customFormat="1" ht="51.95" customHeight="1">
      <c r="A381" s="5">
        <v>0</v>
      </c>
      <c r="B381" s="6" t="s">
        <v>2492</v>
      </c>
      <c r="C381" s="13">
        <v>1084.9000000000001</v>
      </c>
      <c r="D381" s="8" t="s">
        <v>2493</v>
      </c>
      <c r="E381" s="8" t="s">
        <v>2494</v>
      </c>
      <c r="F381" s="8" t="s">
        <v>2495</v>
      </c>
      <c r="G381" s="6" t="s">
        <v>92</v>
      </c>
      <c r="H381" s="6" t="s">
        <v>38</v>
      </c>
      <c r="I381" s="8" t="s">
        <v>53</v>
      </c>
      <c r="J381" s="9">
        <v>1</v>
      </c>
      <c r="K381" s="9">
        <v>240</v>
      </c>
      <c r="L381" s="9">
        <v>2023</v>
      </c>
      <c r="M381" s="8" t="s">
        <v>2496</v>
      </c>
      <c r="N381" s="8" t="s">
        <v>41</v>
      </c>
      <c r="O381" s="8" t="s">
        <v>42</v>
      </c>
      <c r="P381" s="6" t="s">
        <v>43</v>
      </c>
      <c r="Q381" s="8" t="s">
        <v>56</v>
      </c>
      <c r="R381" s="10" t="s">
        <v>1705</v>
      </c>
      <c r="S381" s="11" t="s">
        <v>2497</v>
      </c>
      <c r="T381" s="6"/>
      <c r="U381" s="27" t="str">
        <f>HYPERLINK("https://media.infra-m.ru/2049/2049720/cover/2049720.jpg", "Обложка")</f>
        <v>Обложка</v>
      </c>
      <c r="V381" s="27" t="str">
        <f>HYPERLINK("https://znanium.com/catalog/product/1046389", "Ознакомиться")</f>
        <v>Ознакомиться</v>
      </c>
      <c r="W381" s="8" t="s">
        <v>2498</v>
      </c>
      <c r="X381" s="6"/>
      <c r="Y381" s="6"/>
      <c r="Z381" s="6" t="s">
        <v>60</v>
      </c>
      <c r="AA381" s="6" t="s">
        <v>299</v>
      </c>
    </row>
    <row r="382" spans="1:27" s="4" customFormat="1" ht="51.95" customHeight="1">
      <c r="A382" s="5">
        <v>0</v>
      </c>
      <c r="B382" s="6" t="s">
        <v>2499</v>
      </c>
      <c r="C382" s="13">
        <v>2064</v>
      </c>
      <c r="D382" s="8" t="s">
        <v>2500</v>
      </c>
      <c r="E382" s="8" t="s">
        <v>2501</v>
      </c>
      <c r="F382" s="8" t="s">
        <v>2502</v>
      </c>
      <c r="G382" s="6" t="s">
        <v>92</v>
      </c>
      <c r="H382" s="6" t="s">
        <v>38</v>
      </c>
      <c r="I382" s="8" t="s">
        <v>73</v>
      </c>
      <c r="J382" s="9">
        <v>1</v>
      </c>
      <c r="K382" s="9">
        <v>448</v>
      </c>
      <c r="L382" s="9">
        <v>2024</v>
      </c>
      <c r="M382" s="8" t="s">
        <v>2503</v>
      </c>
      <c r="N382" s="8" t="s">
        <v>41</v>
      </c>
      <c r="O382" s="8" t="s">
        <v>42</v>
      </c>
      <c r="P382" s="6" t="s">
        <v>55</v>
      </c>
      <c r="Q382" s="8" t="s">
        <v>75</v>
      </c>
      <c r="R382" s="10" t="s">
        <v>2504</v>
      </c>
      <c r="S382" s="11" t="s">
        <v>2505</v>
      </c>
      <c r="T382" s="6"/>
      <c r="U382" s="27" t="str">
        <f>HYPERLINK("https://media.infra-m.ru/1893/1893646/cover/1893646.jpg", "Обложка")</f>
        <v>Обложка</v>
      </c>
      <c r="V382" s="27" t="str">
        <f>HYPERLINK("https://znanium.com/catalog/product/1840492", "Ознакомиться")</f>
        <v>Ознакомиться</v>
      </c>
      <c r="W382" s="8" t="s">
        <v>2506</v>
      </c>
      <c r="X382" s="6"/>
      <c r="Y382" s="6"/>
      <c r="Z382" s="6"/>
      <c r="AA382" s="6" t="s">
        <v>1138</v>
      </c>
    </row>
    <row r="383" spans="1:27" s="4" customFormat="1" ht="51.95" customHeight="1">
      <c r="A383" s="5">
        <v>0</v>
      </c>
      <c r="B383" s="6" t="s">
        <v>2507</v>
      </c>
      <c r="C383" s="13">
        <v>1794.9</v>
      </c>
      <c r="D383" s="8" t="s">
        <v>2508</v>
      </c>
      <c r="E383" s="8" t="s">
        <v>2494</v>
      </c>
      <c r="F383" s="8" t="s">
        <v>2509</v>
      </c>
      <c r="G383" s="6" t="s">
        <v>92</v>
      </c>
      <c r="H383" s="6" t="s">
        <v>38</v>
      </c>
      <c r="I383" s="8" t="s">
        <v>73</v>
      </c>
      <c r="J383" s="9">
        <v>1</v>
      </c>
      <c r="K383" s="9">
        <v>576</v>
      </c>
      <c r="L383" s="9">
        <v>2022</v>
      </c>
      <c r="M383" s="8" t="s">
        <v>2510</v>
      </c>
      <c r="N383" s="8" t="s">
        <v>41</v>
      </c>
      <c r="O383" s="8" t="s">
        <v>42</v>
      </c>
      <c r="P383" s="6" t="s">
        <v>55</v>
      </c>
      <c r="Q383" s="8" t="s">
        <v>75</v>
      </c>
      <c r="R383" s="10" t="s">
        <v>2511</v>
      </c>
      <c r="S383" s="11" t="s">
        <v>2512</v>
      </c>
      <c r="T383" s="6"/>
      <c r="U383" s="27" t="str">
        <f>HYPERLINK("https://media.infra-m.ru/1843/1843620/cover/1843620.jpg", "Обложка")</f>
        <v>Обложка</v>
      </c>
      <c r="V383" s="27" t="str">
        <f>HYPERLINK("https://znanium.com/catalog/product/984065", "Ознакомиться")</f>
        <v>Ознакомиться</v>
      </c>
      <c r="W383" s="8" t="s">
        <v>2513</v>
      </c>
      <c r="X383" s="6"/>
      <c r="Y383" s="6"/>
      <c r="Z383" s="6"/>
      <c r="AA383" s="6" t="s">
        <v>150</v>
      </c>
    </row>
    <row r="384" spans="1:27" s="4" customFormat="1" ht="51.95" customHeight="1">
      <c r="A384" s="5">
        <v>0</v>
      </c>
      <c r="B384" s="6" t="s">
        <v>2514</v>
      </c>
      <c r="C384" s="13">
        <v>2144</v>
      </c>
      <c r="D384" s="8" t="s">
        <v>2515</v>
      </c>
      <c r="E384" s="8" t="s">
        <v>2494</v>
      </c>
      <c r="F384" s="8" t="s">
        <v>2516</v>
      </c>
      <c r="G384" s="6" t="s">
        <v>92</v>
      </c>
      <c r="H384" s="6" t="s">
        <v>38</v>
      </c>
      <c r="I384" s="8" t="s">
        <v>53</v>
      </c>
      <c r="J384" s="9">
        <v>1</v>
      </c>
      <c r="K384" s="9">
        <v>576</v>
      </c>
      <c r="L384" s="9">
        <v>2023</v>
      </c>
      <c r="M384" s="8" t="s">
        <v>2517</v>
      </c>
      <c r="N384" s="8" t="s">
        <v>41</v>
      </c>
      <c r="O384" s="8" t="s">
        <v>42</v>
      </c>
      <c r="P384" s="6" t="s">
        <v>55</v>
      </c>
      <c r="Q384" s="8" t="s">
        <v>56</v>
      </c>
      <c r="R384" s="10" t="s">
        <v>1705</v>
      </c>
      <c r="S384" s="11" t="s">
        <v>2518</v>
      </c>
      <c r="T384" s="6"/>
      <c r="U384" s="27" t="str">
        <f>HYPERLINK("https://media.infra-m.ru/2021/2021444/cover/2021444.jpg", "Обложка")</f>
        <v>Обложка</v>
      </c>
      <c r="V384" s="27" t="str">
        <f>HYPERLINK("https://znanium.com/catalog/product/961708", "Ознакомиться")</f>
        <v>Ознакомиться</v>
      </c>
      <c r="W384" s="8" t="s">
        <v>2513</v>
      </c>
      <c r="X384" s="6"/>
      <c r="Y384" s="6"/>
      <c r="Z384" s="6" t="s">
        <v>60</v>
      </c>
      <c r="AA384" s="6" t="s">
        <v>382</v>
      </c>
    </row>
    <row r="385" spans="1:27" s="4" customFormat="1" ht="42" customHeight="1">
      <c r="A385" s="5">
        <v>0</v>
      </c>
      <c r="B385" s="6" t="s">
        <v>2519</v>
      </c>
      <c r="C385" s="13">
        <v>1084.9000000000001</v>
      </c>
      <c r="D385" s="8" t="s">
        <v>2520</v>
      </c>
      <c r="E385" s="8" t="s">
        <v>2494</v>
      </c>
      <c r="F385" s="8" t="s">
        <v>2521</v>
      </c>
      <c r="G385" s="6" t="s">
        <v>92</v>
      </c>
      <c r="H385" s="6" t="s">
        <v>38</v>
      </c>
      <c r="I385" s="8" t="s">
        <v>73</v>
      </c>
      <c r="J385" s="9">
        <v>1</v>
      </c>
      <c r="K385" s="9">
        <v>240</v>
      </c>
      <c r="L385" s="9">
        <v>2023</v>
      </c>
      <c r="M385" s="8" t="s">
        <v>2522</v>
      </c>
      <c r="N385" s="8" t="s">
        <v>41</v>
      </c>
      <c r="O385" s="8" t="s">
        <v>42</v>
      </c>
      <c r="P385" s="6" t="s">
        <v>43</v>
      </c>
      <c r="Q385" s="8" t="s">
        <v>75</v>
      </c>
      <c r="R385" s="10" t="s">
        <v>353</v>
      </c>
      <c r="S385" s="11"/>
      <c r="T385" s="6"/>
      <c r="U385" s="27" t="str">
        <f>HYPERLINK("https://media.infra-m.ru/1981/1981613/cover/1981613.jpg", "Обложка")</f>
        <v>Обложка</v>
      </c>
      <c r="V385" s="27" t="str">
        <f>HYPERLINK("https://znanium.com/catalog/product/1013471", "Ознакомиться")</f>
        <v>Ознакомиться</v>
      </c>
      <c r="W385" s="8" t="s">
        <v>2498</v>
      </c>
      <c r="X385" s="6"/>
      <c r="Y385" s="6"/>
      <c r="Z385" s="6"/>
      <c r="AA385" s="6" t="s">
        <v>106</v>
      </c>
    </row>
    <row r="386" spans="1:27" s="4" customFormat="1" ht="51.95" customHeight="1">
      <c r="A386" s="5">
        <v>0</v>
      </c>
      <c r="B386" s="6" t="s">
        <v>2523</v>
      </c>
      <c r="C386" s="7">
        <v>590</v>
      </c>
      <c r="D386" s="8" t="s">
        <v>2524</v>
      </c>
      <c r="E386" s="8" t="s">
        <v>2525</v>
      </c>
      <c r="F386" s="8" t="s">
        <v>2526</v>
      </c>
      <c r="G386" s="6" t="s">
        <v>37</v>
      </c>
      <c r="H386" s="6" t="s">
        <v>38</v>
      </c>
      <c r="I386" s="8" t="s">
        <v>53</v>
      </c>
      <c r="J386" s="9">
        <v>1</v>
      </c>
      <c r="K386" s="9">
        <v>136</v>
      </c>
      <c r="L386" s="9">
        <v>2022</v>
      </c>
      <c r="M386" s="8" t="s">
        <v>2527</v>
      </c>
      <c r="N386" s="8" t="s">
        <v>41</v>
      </c>
      <c r="O386" s="8" t="s">
        <v>42</v>
      </c>
      <c r="P386" s="6" t="s">
        <v>43</v>
      </c>
      <c r="Q386" s="8" t="s">
        <v>56</v>
      </c>
      <c r="R386" s="10" t="s">
        <v>2528</v>
      </c>
      <c r="S386" s="11" t="s">
        <v>2529</v>
      </c>
      <c r="T386" s="6"/>
      <c r="U386" s="27" t="str">
        <f>HYPERLINK("https://media.infra-m.ru/1865/1865779/cover/1865779.jpg", "Обложка")</f>
        <v>Обложка</v>
      </c>
      <c r="V386" s="27" t="str">
        <f>HYPERLINK("https://znanium.com/catalog/product/1865779", "Ознакомиться")</f>
        <v>Ознакомиться</v>
      </c>
      <c r="W386" s="8" t="s">
        <v>1701</v>
      </c>
      <c r="X386" s="6"/>
      <c r="Y386" s="6"/>
      <c r="Z386" s="6" t="s">
        <v>60</v>
      </c>
      <c r="AA386" s="6" t="s">
        <v>299</v>
      </c>
    </row>
    <row r="387" spans="1:27" s="4" customFormat="1" ht="51.95" customHeight="1">
      <c r="A387" s="5">
        <v>0</v>
      </c>
      <c r="B387" s="6" t="s">
        <v>2530</v>
      </c>
      <c r="C387" s="7">
        <v>614.9</v>
      </c>
      <c r="D387" s="8" t="s">
        <v>2531</v>
      </c>
      <c r="E387" s="8" t="s">
        <v>2525</v>
      </c>
      <c r="F387" s="8" t="s">
        <v>2532</v>
      </c>
      <c r="G387" s="6" t="s">
        <v>119</v>
      </c>
      <c r="H387" s="6" t="s">
        <v>38</v>
      </c>
      <c r="I387" s="8" t="s">
        <v>73</v>
      </c>
      <c r="J387" s="9">
        <v>1</v>
      </c>
      <c r="K387" s="9">
        <v>136</v>
      </c>
      <c r="L387" s="9">
        <v>2023</v>
      </c>
      <c r="M387" s="8" t="s">
        <v>2533</v>
      </c>
      <c r="N387" s="8" t="s">
        <v>41</v>
      </c>
      <c r="O387" s="8" t="s">
        <v>42</v>
      </c>
      <c r="P387" s="6" t="s">
        <v>43</v>
      </c>
      <c r="Q387" s="8" t="s">
        <v>75</v>
      </c>
      <c r="R387" s="10" t="s">
        <v>2534</v>
      </c>
      <c r="S387" s="11" t="s">
        <v>2535</v>
      </c>
      <c r="T387" s="6"/>
      <c r="U387" s="27" t="str">
        <f>HYPERLINK("https://media.infra-m.ru/2045/2045802/cover/2045802.jpg", "Обложка")</f>
        <v>Обложка</v>
      </c>
      <c r="V387" s="27" t="str">
        <f>HYPERLINK("https://znanium.com/catalog/product/915096", "Ознакомиться")</f>
        <v>Ознакомиться</v>
      </c>
      <c r="W387" s="8" t="s">
        <v>1701</v>
      </c>
      <c r="X387" s="6"/>
      <c r="Y387" s="6"/>
      <c r="Z387" s="6"/>
      <c r="AA387" s="6" t="s">
        <v>213</v>
      </c>
    </row>
    <row r="388" spans="1:27" s="4" customFormat="1" ht="51.95" customHeight="1">
      <c r="A388" s="5">
        <v>0</v>
      </c>
      <c r="B388" s="6" t="s">
        <v>2536</v>
      </c>
      <c r="C388" s="13">
        <v>1704.9</v>
      </c>
      <c r="D388" s="8" t="s">
        <v>2537</v>
      </c>
      <c r="E388" s="8" t="s">
        <v>2501</v>
      </c>
      <c r="F388" s="8" t="s">
        <v>2538</v>
      </c>
      <c r="G388" s="6" t="s">
        <v>92</v>
      </c>
      <c r="H388" s="6" t="s">
        <v>38</v>
      </c>
      <c r="I388" s="8" t="s">
        <v>53</v>
      </c>
      <c r="J388" s="9">
        <v>1</v>
      </c>
      <c r="K388" s="9">
        <v>448</v>
      </c>
      <c r="L388" s="9">
        <v>2022</v>
      </c>
      <c r="M388" s="8" t="s">
        <v>2539</v>
      </c>
      <c r="N388" s="8" t="s">
        <v>41</v>
      </c>
      <c r="O388" s="8" t="s">
        <v>42</v>
      </c>
      <c r="P388" s="6" t="s">
        <v>55</v>
      </c>
      <c r="Q388" s="8" t="s">
        <v>56</v>
      </c>
      <c r="R388" s="10" t="s">
        <v>2540</v>
      </c>
      <c r="S388" s="11" t="s">
        <v>2541</v>
      </c>
      <c r="T388" s="6"/>
      <c r="U388" s="27" t="str">
        <f>HYPERLINK("https://media.infra-m.ru/1853/1853769/cover/1853769.jpg", "Обложка")</f>
        <v>Обложка</v>
      </c>
      <c r="V388" s="27" t="str">
        <f>HYPERLINK("https://znanium.com/catalog/product/1046426", "Ознакомиться")</f>
        <v>Ознакомиться</v>
      </c>
      <c r="W388" s="8" t="s">
        <v>2506</v>
      </c>
      <c r="X388" s="6"/>
      <c r="Y388" s="6"/>
      <c r="Z388" s="6" t="s">
        <v>60</v>
      </c>
      <c r="AA388" s="6" t="s">
        <v>405</v>
      </c>
    </row>
    <row r="389" spans="1:27" s="4" customFormat="1" ht="51.95" customHeight="1">
      <c r="A389" s="5">
        <v>0</v>
      </c>
      <c r="B389" s="6" t="s">
        <v>2542</v>
      </c>
      <c r="C389" s="7">
        <v>664.9</v>
      </c>
      <c r="D389" s="8" t="s">
        <v>2543</v>
      </c>
      <c r="E389" s="8" t="s">
        <v>2487</v>
      </c>
      <c r="F389" s="8" t="s">
        <v>2488</v>
      </c>
      <c r="G389" s="6" t="s">
        <v>92</v>
      </c>
      <c r="H389" s="6" t="s">
        <v>38</v>
      </c>
      <c r="I389" s="8" t="s">
        <v>73</v>
      </c>
      <c r="J389" s="9">
        <v>1</v>
      </c>
      <c r="K389" s="9">
        <v>176</v>
      </c>
      <c r="L389" s="9">
        <v>2022</v>
      </c>
      <c r="M389" s="8" t="s">
        <v>2544</v>
      </c>
      <c r="N389" s="8" t="s">
        <v>41</v>
      </c>
      <c r="O389" s="8" t="s">
        <v>42</v>
      </c>
      <c r="P389" s="6" t="s">
        <v>43</v>
      </c>
      <c r="Q389" s="8" t="s">
        <v>75</v>
      </c>
      <c r="R389" s="10" t="s">
        <v>2511</v>
      </c>
      <c r="S389" s="11" t="s">
        <v>2545</v>
      </c>
      <c r="T389" s="6"/>
      <c r="U389" s="27" t="str">
        <f>HYPERLINK("https://media.infra-m.ru/1840/1840497/cover/1840497.jpg", "Обложка")</f>
        <v>Обложка</v>
      </c>
      <c r="V389" s="27" t="str">
        <f>HYPERLINK("https://znanium.com/catalog/product/1840497", "Ознакомиться")</f>
        <v>Ознакомиться</v>
      </c>
      <c r="W389" s="8" t="s">
        <v>2491</v>
      </c>
      <c r="X389" s="6"/>
      <c r="Y389" s="6"/>
      <c r="Z389" s="6"/>
      <c r="AA389" s="6" t="s">
        <v>70</v>
      </c>
    </row>
    <row r="390" spans="1:27" s="4" customFormat="1" ht="51.95" customHeight="1">
      <c r="A390" s="5">
        <v>0</v>
      </c>
      <c r="B390" s="6" t="s">
        <v>2546</v>
      </c>
      <c r="C390" s="7">
        <v>470</v>
      </c>
      <c r="D390" s="8" t="s">
        <v>2547</v>
      </c>
      <c r="E390" s="8" t="s">
        <v>2548</v>
      </c>
      <c r="F390" s="8" t="s">
        <v>2488</v>
      </c>
      <c r="G390" s="6" t="s">
        <v>119</v>
      </c>
      <c r="H390" s="6" t="s">
        <v>38</v>
      </c>
      <c r="I390" s="8" t="s">
        <v>73</v>
      </c>
      <c r="J390" s="9">
        <v>10</v>
      </c>
      <c r="K390" s="9">
        <v>174</v>
      </c>
      <c r="L390" s="9">
        <v>2017</v>
      </c>
      <c r="M390" s="8" t="s">
        <v>2549</v>
      </c>
      <c r="N390" s="8" t="s">
        <v>41</v>
      </c>
      <c r="O390" s="8" t="s">
        <v>42</v>
      </c>
      <c r="P390" s="6" t="s">
        <v>43</v>
      </c>
      <c r="Q390" s="8" t="s">
        <v>75</v>
      </c>
      <c r="R390" s="10" t="s">
        <v>2511</v>
      </c>
      <c r="S390" s="11" t="s">
        <v>2550</v>
      </c>
      <c r="T390" s="6"/>
      <c r="U390" s="27" t="str">
        <f>HYPERLINK("https://media.infra-m.ru/0558/0558381/cover/558381.jpg", "Обложка")</f>
        <v>Обложка</v>
      </c>
      <c r="V390" s="27" t="str">
        <f>HYPERLINK("https://znanium.com/catalog/product/1840497", "Ознакомиться")</f>
        <v>Ознакомиться</v>
      </c>
      <c r="W390" s="8" t="s">
        <v>2491</v>
      </c>
      <c r="X390" s="6"/>
      <c r="Y390" s="6"/>
      <c r="Z390" s="6"/>
      <c r="AA390" s="6" t="s">
        <v>47</v>
      </c>
    </row>
    <row r="391" spans="1:27" s="4" customFormat="1" ht="51.95" customHeight="1">
      <c r="A391" s="5">
        <v>0</v>
      </c>
      <c r="B391" s="6" t="s">
        <v>2551</v>
      </c>
      <c r="C391" s="13">
        <v>1214</v>
      </c>
      <c r="D391" s="8" t="s">
        <v>2552</v>
      </c>
      <c r="E391" s="8" t="s">
        <v>2553</v>
      </c>
      <c r="F391" s="8" t="s">
        <v>2554</v>
      </c>
      <c r="G391" s="6" t="s">
        <v>92</v>
      </c>
      <c r="H391" s="6" t="s">
        <v>38</v>
      </c>
      <c r="I391" s="8" t="s">
        <v>73</v>
      </c>
      <c r="J391" s="9">
        <v>1</v>
      </c>
      <c r="K391" s="9">
        <v>265</v>
      </c>
      <c r="L391" s="9">
        <v>2024</v>
      </c>
      <c r="M391" s="8" t="s">
        <v>2555</v>
      </c>
      <c r="N391" s="8" t="s">
        <v>41</v>
      </c>
      <c r="O391" s="8" t="s">
        <v>42</v>
      </c>
      <c r="P391" s="6" t="s">
        <v>55</v>
      </c>
      <c r="Q391" s="8" t="s">
        <v>75</v>
      </c>
      <c r="R391" s="10" t="s">
        <v>353</v>
      </c>
      <c r="S391" s="11" t="s">
        <v>2556</v>
      </c>
      <c r="T391" s="6"/>
      <c r="U391" s="27" t="str">
        <f>HYPERLINK("https://media.infra-m.ru/2084/2084535/cover/2084535.jpg", "Обложка")</f>
        <v>Обложка</v>
      </c>
      <c r="V391" s="27" t="str">
        <f>HYPERLINK("https://znanium.com/catalog/product/1068801", "Ознакомиться")</f>
        <v>Ознакомиться</v>
      </c>
      <c r="W391" s="8" t="s">
        <v>2498</v>
      </c>
      <c r="X391" s="6"/>
      <c r="Y391" s="6"/>
      <c r="Z391" s="6"/>
      <c r="AA391" s="6" t="s">
        <v>602</v>
      </c>
    </row>
    <row r="392" spans="1:27" s="4" customFormat="1" ht="51.95" customHeight="1">
      <c r="A392" s="5">
        <v>0</v>
      </c>
      <c r="B392" s="6" t="s">
        <v>2557</v>
      </c>
      <c r="C392" s="7">
        <v>910</v>
      </c>
      <c r="D392" s="8" t="s">
        <v>2558</v>
      </c>
      <c r="E392" s="8" t="s">
        <v>2553</v>
      </c>
      <c r="F392" s="8" t="s">
        <v>2559</v>
      </c>
      <c r="G392" s="6" t="s">
        <v>92</v>
      </c>
      <c r="H392" s="6" t="s">
        <v>38</v>
      </c>
      <c r="I392" s="8" t="s">
        <v>53</v>
      </c>
      <c r="J392" s="9">
        <v>1</v>
      </c>
      <c r="K392" s="9">
        <v>265</v>
      </c>
      <c r="L392" s="9">
        <v>2020</v>
      </c>
      <c r="M392" s="8" t="s">
        <v>2560</v>
      </c>
      <c r="N392" s="8" t="s">
        <v>41</v>
      </c>
      <c r="O392" s="8" t="s">
        <v>42</v>
      </c>
      <c r="P392" s="6" t="s">
        <v>55</v>
      </c>
      <c r="Q392" s="8" t="s">
        <v>56</v>
      </c>
      <c r="R392" s="10" t="s">
        <v>2540</v>
      </c>
      <c r="S392" s="11" t="s">
        <v>2541</v>
      </c>
      <c r="T392" s="6" t="s">
        <v>59</v>
      </c>
      <c r="U392" s="27" t="str">
        <f>HYPERLINK("https://media.infra-m.ru/1046/1046411/cover/1046411.jpg", "Обложка")</f>
        <v>Обложка</v>
      </c>
      <c r="V392" s="27" t="str">
        <f>HYPERLINK("https://znanium.com/catalog/product/1046411", "Ознакомиться")</f>
        <v>Ознакомиться</v>
      </c>
      <c r="W392" s="8" t="s">
        <v>2498</v>
      </c>
      <c r="X392" s="6"/>
      <c r="Y392" s="6"/>
      <c r="Z392" s="6" t="s">
        <v>60</v>
      </c>
      <c r="AA392" s="6" t="s">
        <v>405</v>
      </c>
    </row>
    <row r="393" spans="1:27" s="4" customFormat="1" ht="42" customHeight="1">
      <c r="A393" s="5">
        <v>0</v>
      </c>
      <c r="B393" s="6" t="s">
        <v>2561</v>
      </c>
      <c r="C393" s="7">
        <v>493</v>
      </c>
      <c r="D393" s="8" t="s">
        <v>2562</v>
      </c>
      <c r="E393" s="8" t="s">
        <v>2563</v>
      </c>
      <c r="F393" s="8" t="s">
        <v>2564</v>
      </c>
      <c r="G393" s="6" t="s">
        <v>119</v>
      </c>
      <c r="H393" s="6" t="s">
        <v>209</v>
      </c>
      <c r="I393" s="8" t="s">
        <v>257</v>
      </c>
      <c r="J393" s="9">
        <v>1</v>
      </c>
      <c r="K393" s="9">
        <v>156</v>
      </c>
      <c r="L393" s="9">
        <v>2023</v>
      </c>
      <c r="M393" s="8" t="s">
        <v>2565</v>
      </c>
      <c r="N393" s="8" t="s">
        <v>41</v>
      </c>
      <c r="O393" s="8" t="s">
        <v>42</v>
      </c>
      <c r="P393" s="6" t="s">
        <v>43</v>
      </c>
      <c r="Q393" s="8" t="s">
        <v>56</v>
      </c>
      <c r="R393" s="10" t="s">
        <v>140</v>
      </c>
      <c r="S393" s="11"/>
      <c r="T393" s="6"/>
      <c r="U393" s="27" t="str">
        <f>HYPERLINK("https://media.infra-m.ru/2022/2022260/cover/2022260.jpg", "Обложка")</f>
        <v>Обложка</v>
      </c>
      <c r="V393" s="27" t="str">
        <f>HYPERLINK("https://znanium.com/catalog/product/2022260", "Ознакомиться")</f>
        <v>Ознакомиться</v>
      </c>
      <c r="W393" s="8" t="s">
        <v>314</v>
      </c>
      <c r="X393" s="6"/>
      <c r="Y393" s="6"/>
      <c r="Z393" s="6"/>
      <c r="AA393" s="6" t="s">
        <v>266</v>
      </c>
    </row>
    <row r="394" spans="1:27" s="4" customFormat="1" ht="51.95" customHeight="1">
      <c r="A394" s="5">
        <v>0</v>
      </c>
      <c r="B394" s="6" t="s">
        <v>2566</v>
      </c>
      <c r="C394" s="13">
        <v>1780</v>
      </c>
      <c r="D394" s="8" t="s">
        <v>2567</v>
      </c>
      <c r="E394" s="8" t="s">
        <v>2568</v>
      </c>
      <c r="F394" s="8" t="s">
        <v>2569</v>
      </c>
      <c r="G394" s="6" t="s">
        <v>37</v>
      </c>
      <c r="H394" s="6" t="s">
        <v>38</v>
      </c>
      <c r="I394" s="8" t="s">
        <v>73</v>
      </c>
      <c r="J394" s="9">
        <v>1</v>
      </c>
      <c r="K394" s="9">
        <v>394</v>
      </c>
      <c r="L394" s="9">
        <v>2023</v>
      </c>
      <c r="M394" s="8" t="s">
        <v>2570</v>
      </c>
      <c r="N394" s="8" t="s">
        <v>41</v>
      </c>
      <c r="O394" s="8" t="s">
        <v>42</v>
      </c>
      <c r="P394" s="6" t="s">
        <v>43</v>
      </c>
      <c r="Q394" s="8" t="s">
        <v>75</v>
      </c>
      <c r="R394" s="10" t="s">
        <v>2571</v>
      </c>
      <c r="S394" s="11" t="s">
        <v>2572</v>
      </c>
      <c r="T394" s="6"/>
      <c r="U394" s="27" t="str">
        <f>HYPERLINK("https://media.infra-m.ru/1855/1855799/cover/1855799.jpg", "Обложка")</f>
        <v>Обложка</v>
      </c>
      <c r="V394" s="27" t="str">
        <f>HYPERLINK("https://znanium.com/catalog/product/1855799", "Ознакомиться")</f>
        <v>Ознакомиться</v>
      </c>
      <c r="W394" s="8" t="s">
        <v>2498</v>
      </c>
      <c r="X394" s="6"/>
      <c r="Y394" s="6"/>
      <c r="Z394" s="6"/>
      <c r="AA394" s="6" t="s">
        <v>346</v>
      </c>
    </row>
    <row r="395" spans="1:27" s="4" customFormat="1" ht="51.95" customHeight="1">
      <c r="A395" s="5">
        <v>0</v>
      </c>
      <c r="B395" s="6" t="s">
        <v>2573</v>
      </c>
      <c r="C395" s="13">
        <v>1874.9</v>
      </c>
      <c r="D395" s="8" t="s">
        <v>2574</v>
      </c>
      <c r="E395" s="8" t="s">
        <v>2575</v>
      </c>
      <c r="F395" s="8" t="s">
        <v>2576</v>
      </c>
      <c r="G395" s="6" t="s">
        <v>92</v>
      </c>
      <c r="H395" s="6" t="s">
        <v>424</v>
      </c>
      <c r="I395" s="8" t="s">
        <v>425</v>
      </c>
      <c r="J395" s="9">
        <v>1</v>
      </c>
      <c r="K395" s="9">
        <v>416</v>
      </c>
      <c r="L395" s="9">
        <v>2023</v>
      </c>
      <c r="M395" s="8" t="s">
        <v>2577</v>
      </c>
      <c r="N395" s="8" t="s">
        <v>41</v>
      </c>
      <c r="O395" s="8" t="s">
        <v>42</v>
      </c>
      <c r="P395" s="6" t="s">
        <v>43</v>
      </c>
      <c r="Q395" s="8" t="s">
        <v>286</v>
      </c>
      <c r="R395" s="10" t="s">
        <v>905</v>
      </c>
      <c r="S395" s="11" t="s">
        <v>2578</v>
      </c>
      <c r="T395" s="6"/>
      <c r="U395" s="27" t="str">
        <f>HYPERLINK("https://media.infra-m.ru/1931/1931489/cover/1931489.jpg", "Обложка")</f>
        <v>Обложка</v>
      </c>
      <c r="V395" s="27" t="str">
        <f>HYPERLINK("https://znanium.com/catalog/product/1832336", "Ознакомиться")</f>
        <v>Ознакомиться</v>
      </c>
      <c r="W395" s="8" t="s">
        <v>1713</v>
      </c>
      <c r="X395" s="6"/>
      <c r="Y395" s="6"/>
      <c r="Z395" s="6"/>
      <c r="AA395" s="6" t="s">
        <v>290</v>
      </c>
    </row>
    <row r="396" spans="1:27" s="4" customFormat="1" ht="51.95" customHeight="1">
      <c r="A396" s="5">
        <v>0</v>
      </c>
      <c r="B396" s="6" t="s">
        <v>2579</v>
      </c>
      <c r="C396" s="7">
        <v>954</v>
      </c>
      <c r="D396" s="8" t="s">
        <v>2580</v>
      </c>
      <c r="E396" s="8" t="s">
        <v>2581</v>
      </c>
      <c r="F396" s="8" t="s">
        <v>2582</v>
      </c>
      <c r="G396" s="6" t="s">
        <v>92</v>
      </c>
      <c r="H396" s="6" t="s">
        <v>131</v>
      </c>
      <c r="I396" s="8" t="s">
        <v>132</v>
      </c>
      <c r="J396" s="9">
        <v>1</v>
      </c>
      <c r="K396" s="9">
        <v>208</v>
      </c>
      <c r="L396" s="9">
        <v>2024</v>
      </c>
      <c r="M396" s="8" t="s">
        <v>2583</v>
      </c>
      <c r="N396" s="8" t="s">
        <v>41</v>
      </c>
      <c r="O396" s="8" t="s">
        <v>42</v>
      </c>
      <c r="P396" s="6" t="s">
        <v>43</v>
      </c>
      <c r="Q396" s="8" t="s">
        <v>75</v>
      </c>
      <c r="R396" s="10" t="s">
        <v>2584</v>
      </c>
      <c r="S396" s="11" t="s">
        <v>2585</v>
      </c>
      <c r="T396" s="6"/>
      <c r="U396" s="27" t="str">
        <f>HYPERLINK("https://media.infra-m.ru/2079/2079168/cover/2079168.jpg", "Обложка")</f>
        <v>Обложка</v>
      </c>
      <c r="V396" s="27" t="str">
        <f>HYPERLINK("https://znanium.com/catalog/product/1002366", "Ознакомиться")</f>
        <v>Ознакомиться</v>
      </c>
      <c r="W396" s="8" t="s">
        <v>1745</v>
      </c>
      <c r="X396" s="6"/>
      <c r="Y396" s="6"/>
      <c r="Z396" s="6"/>
      <c r="AA396" s="6" t="s">
        <v>47</v>
      </c>
    </row>
    <row r="397" spans="1:27" s="4" customFormat="1" ht="51.95" customHeight="1">
      <c r="A397" s="5">
        <v>0</v>
      </c>
      <c r="B397" s="6" t="s">
        <v>2586</v>
      </c>
      <c r="C397" s="13">
        <v>1034.9000000000001</v>
      </c>
      <c r="D397" s="8" t="s">
        <v>2587</v>
      </c>
      <c r="E397" s="8" t="s">
        <v>2588</v>
      </c>
      <c r="F397" s="8" t="s">
        <v>2589</v>
      </c>
      <c r="G397" s="6" t="s">
        <v>92</v>
      </c>
      <c r="H397" s="6" t="s">
        <v>38</v>
      </c>
      <c r="I397" s="8" t="s">
        <v>73</v>
      </c>
      <c r="J397" s="9">
        <v>1</v>
      </c>
      <c r="K397" s="9">
        <v>304</v>
      </c>
      <c r="L397" s="9">
        <v>2020</v>
      </c>
      <c r="M397" s="8" t="s">
        <v>2590</v>
      </c>
      <c r="N397" s="8" t="s">
        <v>41</v>
      </c>
      <c r="O397" s="8" t="s">
        <v>42</v>
      </c>
      <c r="P397" s="6" t="s">
        <v>43</v>
      </c>
      <c r="Q397" s="8" t="s">
        <v>75</v>
      </c>
      <c r="R397" s="10" t="s">
        <v>1699</v>
      </c>
      <c r="S397" s="11" t="s">
        <v>1700</v>
      </c>
      <c r="T397" s="6"/>
      <c r="U397" s="27" t="str">
        <f>HYPERLINK("https://media.infra-m.ru/1046/1046393/cover/1046393.jpg", "Обложка")</f>
        <v>Обложка</v>
      </c>
      <c r="V397" s="27" t="str">
        <f>HYPERLINK("https://znanium.com/catalog/product/1875211", "Ознакомиться")</f>
        <v>Ознакомиться</v>
      </c>
      <c r="W397" s="8" t="s">
        <v>1701</v>
      </c>
      <c r="X397" s="6"/>
      <c r="Y397" s="6"/>
      <c r="Z397" s="6"/>
      <c r="AA397" s="6" t="s">
        <v>213</v>
      </c>
    </row>
    <row r="398" spans="1:27" s="4" customFormat="1" ht="51.95" customHeight="1">
      <c r="A398" s="5">
        <v>0</v>
      </c>
      <c r="B398" s="6" t="s">
        <v>2591</v>
      </c>
      <c r="C398" s="13">
        <v>1194.9000000000001</v>
      </c>
      <c r="D398" s="8" t="s">
        <v>2592</v>
      </c>
      <c r="E398" s="8" t="s">
        <v>2593</v>
      </c>
      <c r="F398" s="8" t="s">
        <v>2594</v>
      </c>
      <c r="G398" s="6" t="s">
        <v>92</v>
      </c>
      <c r="H398" s="6" t="s">
        <v>38</v>
      </c>
      <c r="I398" s="8" t="s">
        <v>73</v>
      </c>
      <c r="J398" s="9">
        <v>1</v>
      </c>
      <c r="K398" s="9">
        <v>265</v>
      </c>
      <c r="L398" s="9">
        <v>2023</v>
      </c>
      <c r="M398" s="8" t="s">
        <v>2595</v>
      </c>
      <c r="N398" s="8" t="s">
        <v>41</v>
      </c>
      <c r="O398" s="8" t="s">
        <v>42</v>
      </c>
      <c r="P398" s="6" t="s">
        <v>43</v>
      </c>
      <c r="Q398" s="8" t="s">
        <v>75</v>
      </c>
      <c r="R398" s="10" t="s">
        <v>687</v>
      </c>
      <c r="S398" s="11" t="s">
        <v>2596</v>
      </c>
      <c r="T398" s="6"/>
      <c r="U398" s="27" t="str">
        <f>HYPERLINK("https://media.infra-m.ru/1906/1906714/cover/1906714.jpg", "Обложка")</f>
        <v>Обложка</v>
      </c>
      <c r="V398" s="27" t="str">
        <f>HYPERLINK("https://znanium.com/catalog/product/1846708", "Ознакомиться")</f>
        <v>Ознакомиться</v>
      </c>
      <c r="W398" s="8" t="s">
        <v>830</v>
      </c>
      <c r="X398" s="6"/>
      <c r="Y398" s="6"/>
      <c r="Z398" s="6"/>
      <c r="AA398" s="6" t="s">
        <v>213</v>
      </c>
    </row>
    <row r="399" spans="1:27" s="4" customFormat="1" ht="51.95" customHeight="1">
      <c r="A399" s="5">
        <v>0</v>
      </c>
      <c r="B399" s="6" t="s">
        <v>2597</v>
      </c>
      <c r="C399" s="13">
        <v>1614</v>
      </c>
      <c r="D399" s="8" t="s">
        <v>2598</v>
      </c>
      <c r="E399" s="8" t="s">
        <v>2593</v>
      </c>
      <c r="F399" s="8" t="s">
        <v>1181</v>
      </c>
      <c r="G399" s="6" t="s">
        <v>37</v>
      </c>
      <c r="H399" s="6" t="s">
        <v>38</v>
      </c>
      <c r="I399" s="8" t="s">
        <v>53</v>
      </c>
      <c r="J399" s="9">
        <v>1</v>
      </c>
      <c r="K399" s="9">
        <v>265</v>
      </c>
      <c r="L399" s="9">
        <v>2024</v>
      </c>
      <c r="M399" s="8" t="s">
        <v>2599</v>
      </c>
      <c r="N399" s="8" t="s">
        <v>41</v>
      </c>
      <c r="O399" s="8" t="s">
        <v>42</v>
      </c>
      <c r="P399" s="6" t="s">
        <v>43</v>
      </c>
      <c r="Q399" s="8" t="s">
        <v>56</v>
      </c>
      <c r="R399" s="10" t="s">
        <v>2600</v>
      </c>
      <c r="S399" s="11" t="s">
        <v>2601</v>
      </c>
      <c r="T399" s="6"/>
      <c r="U399" s="27" t="str">
        <f>HYPERLINK("https://media.infra-m.ru/2107/2107425/cover/2107425.jpg", "Обложка")</f>
        <v>Обложка</v>
      </c>
      <c r="V399" s="27" t="str">
        <f>HYPERLINK("https://znanium.com/catalog/product/1910446", "Ознакомиться")</f>
        <v>Ознакомиться</v>
      </c>
      <c r="W399" s="8" t="s">
        <v>830</v>
      </c>
      <c r="X399" s="6"/>
      <c r="Y399" s="6"/>
      <c r="Z399" s="6" t="s">
        <v>60</v>
      </c>
      <c r="AA399" s="6" t="s">
        <v>126</v>
      </c>
    </row>
    <row r="400" spans="1:27" s="4" customFormat="1" ht="51.95" customHeight="1">
      <c r="A400" s="5">
        <v>0</v>
      </c>
      <c r="B400" s="6" t="s">
        <v>2602</v>
      </c>
      <c r="C400" s="13">
        <v>1424</v>
      </c>
      <c r="D400" s="8" t="s">
        <v>2603</v>
      </c>
      <c r="E400" s="8" t="s">
        <v>2604</v>
      </c>
      <c r="F400" s="8" t="s">
        <v>599</v>
      </c>
      <c r="G400" s="6" t="s">
        <v>37</v>
      </c>
      <c r="H400" s="6" t="s">
        <v>38</v>
      </c>
      <c r="I400" s="8" t="s">
        <v>39</v>
      </c>
      <c r="J400" s="9">
        <v>1</v>
      </c>
      <c r="K400" s="9">
        <v>309</v>
      </c>
      <c r="L400" s="9">
        <v>2024</v>
      </c>
      <c r="M400" s="8" t="s">
        <v>2605</v>
      </c>
      <c r="N400" s="8" t="s">
        <v>41</v>
      </c>
      <c r="O400" s="8" t="s">
        <v>42</v>
      </c>
      <c r="P400" s="6" t="s">
        <v>55</v>
      </c>
      <c r="Q400" s="8" t="s">
        <v>44</v>
      </c>
      <c r="R400" s="10" t="s">
        <v>2606</v>
      </c>
      <c r="S400" s="11" t="s">
        <v>2607</v>
      </c>
      <c r="T400" s="6"/>
      <c r="U400" s="27" t="str">
        <f>HYPERLINK("https://media.infra-m.ru/2082/2082882/cover/2082882.jpg", "Обложка")</f>
        <v>Обложка</v>
      </c>
      <c r="V400" s="27" t="str">
        <f>HYPERLINK("https://znanium.com/catalog/product/1056723", "Ознакомиться")</f>
        <v>Ознакомиться</v>
      </c>
      <c r="W400" s="8" t="s">
        <v>125</v>
      </c>
      <c r="X400" s="6"/>
      <c r="Y400" s="6"/>
      <c r="Z400" s="6"/>
      <c r="AA400" s="6" t="s">
        <v>150</v>
      </c>
    </row>
    <row r="401" spans="1:27" s="4" customFormat="1" ht="51.95" customHeight="1">
      <c r="A401" s="5">
        <v>0</v>
      </c>
      <c r="B401" s="6" t="s">
        <v>2608</v>
      </c>
      <c r="C401" s="13">
        <v>1824</v>
      </c>
      <c r="D401" s="8" t="s">
        <v>2609</v>
      </c>
      <c r="E401" s="8" t="s">
        <v>2610</v>
      </c>
      <c r="F401" s="8" t="s">
        <v>2611</v>
      </c>
      <c r="G401" s="6" t="s">
        <v>92</v>
      </c>
      <c r="H401" s="6" t="s">
        <v>424</v>
      </c>
      <c r="I401" s="8" t="s">
        <v>425</v>
      </c>
      <c r="J401" s="9">
        <v>1</v>
      </c>
      <c r="K401" s="9">
        <v>398</v>
      </c>
      <c r="L401" s="9">
        <v>2024</v>
      </c>
      <c r="M401" s="8" t="s">
        <v>2612</v>
      </c>
      <c r="N401" s="8" t="s">
        <v>41</v>
      </c>
      <c r="O401" s="8" t="s">
        <v>42</v>
      </c>
      <c r="P401" s="6" t="s">
        <v>43</v>
      </c>
      <c r="Q401" s="8" t="s">
        <v>56</v>
      </c>
      <c r="R401" s="10" t="s">
        <v>2613</v>
      </c>
      <c r="S401" s="11" t="s">
        <v>2614</v>
      </c>
      <c r="T401" s="6"/>
      <c r="U401" s="27" t="str">
        <f>HYPERLINK("https://media.infra-m.ru/2109/2109040/cover/2109040.jpg", "Обложка")</f>
        <v>Обложка</v>
      </c>
      <c r="V401" s="27" t="str">
        <f>HYPERLINK("https://znanium.com/catalog/product/1174606", "Ознакомиться")</f>
        <v>Ознакомиться</v>
      </c>
      <c r="W401" s="8" t="s">
        <v>1713</v>
      </c>
      <c r="X401" s="6"/>
      <c r="Y401" s="6"/>
      <c r="Z401" s="6"/>
      <c r="AA401" s="6" t="s">
        <v>469</v>
      </c>
    </row>
    <row r="402" spans="1:27" s="4" customFormat="1" ht="44.1" customHeight="1">
      <c r="A402" s="5">
        <v>0</v>
      </c>
      <c r="B402" s="6" t="s">
        <v>2615</v>
      </c>
      <c r="C402" s="13">
        <v>1910</v>
      </c>
      <c r="D402" s="8" t="s">
        <v>2616</v>
      </c>
      <c r="E402" s="8" t="s">
        <v>2617</v>
      </c>
      <c r="F402" s="8" t="s">
        <v>2618</v>
      </c>
      <c r="G402" s="6" t="s">
        <v>92</v>
      </c>
      <c r="H402" s="6" t="s">
        <v>1120</v>
      </c>
      <c r="I402" s="8" t="s">
        <v>2619</v>
      </c>
      <c r="J402" s="9">
        <v>1</v>
      </c>
      <c r="K402" s="9">
        <v>408</v>
      </c>
      <c r="L402" s="9">
        <v>2024</v>
      </c>
      <c r="M402" s="8" t="s">
        <v>2620</v>
      </c>
      <c r="N402" s="8" t="s">
        <v>41</v>
      </c>
      <c r="O402" s="8" t="s">
        <v>42</v>
      </c>
      <c r="P402" s="6" t="s">
        <v>122</v>
      </c>
      <c r="Q402" s="8" t="s">
        <v>123</v>
      </c>
      <c r="R402" s="10" t="s">
        <v>2621</v>
      </c>
      <c r="S402" s="11"/>
      <c r="T402" s="6"/>
      <c r="U402" s="27" t="str">
        <f>HYPERLINK("https://media.infra-m.ru/2116/2116947/cover/2116947.jpg", "Обложка")</f>
        <v>Обложка</v>
      </c>
      <c r="V402" s="27" t="str">
        <f>HYPERLINK("https://znanium.com/catalog/product/2116947", "Ознакомиться")</f>
        <v>Ознакомиться</v>
      </c>
      <c r="W402" s="8" t="s">
        <v>212</v>
      </c>
      <c r="X402" s="6"/>
      <c r="Y402" s="6"/>
      <c r="Z402" s="6"/>
      <c r="AA402" s="6" t="s">
        <v>106</v>
      </c>
    </row>
    <row r="403" spans="1:27" s="4" customFormat="1" ht="51.95" customHeight="1">
      <c r="A403" s="5">
        <v>0</v>
      </c>
      <c r="B403" s="6" t="s">
        <v>2622</v>
      </c>
      <c r="C403" s="7">
        <v>770</v>
      </c>
      <c r="D403" s="8" t="s">
        <v>2623</v>
      </c>
      <c r="E403" s="8" t="s">
        <v>2624</v>
      </c>
      <c r="F403" s="8" t="s">
        <v>2625</v>
      </c>
      <c r="G403" s="6" t="s">
        <v>119</v>
      </c>
      <c r="H403" s="6" t="s">
        <v>38</v>
      </c>
      <c r="I403" s="8" t="s">
        <v>120</v>
      </c>
      <c r="J403" s="9">
        <v>1</v>
      </c>
      <c r="K403" s="9">
        <v>151</v>
      </c>
      <c r="L403" s="9">
        <v>2022</v>
      </c>
      <c r="M403" s="8" t="s">
        <v>2626</v>
      </c>
      <c r="N403" s="8" t="s">
        <v>41</v>
      </c>
      <c r="O403" s="8" t="s">
        <v>42</v>
      </c>
      <c r="P403" s="6" t="s">
        <v>122</v>
      </c>
      <c r="Q403" s="8" t="s">
        <v>123</v>
      </c>
      <c r="R403" s="10" t="s">
        <v>2627</v>
      </c>
      <c r="S403" s="11"/>
      <c r="T403" s="6"/>
      <c r="U403" s="27" t="str">
        <f>HYPERLINK("https://media.infra-m.ru/1863/1863099/cover/1863099.jpg", "Обложка")</f>
        <v>Обложка</v>
      </c>
      <c r="V403" s="27" t="str">
        <f>HYPERLINK("https://znanium.com/catalog/product/1863099", "Ознакомиться")</f>
        <v>Ознакомиться</v>
      </c>
      <c r="W403" s="8" t="s">
        <v>2628</v>
      </c>
      <c r="X403" s="6"/>
      <c r="Y403" s="6"/>
      <c r="Z403" s="6"/>
      <c r="AA403" s="6" t="s">
        <v>204</v>
      </c>
    </row>
    <row r="404" spans="1:27" s="4" customFormat="1" ht="42" customHeight="1">
      <c r="A404" s="5">
        <v>0</v>
      </c>
      <c r="B404" s="6" t="s">
        <v>2629</v>
      </c>
      <c r="C404" s="13">
        <v>1120</v>
      </c>
      <c r="D404" s="8" t="s">
        <v>2630</v>
      </c>
      <c r="E404" s="8" t="s">
        <v>2631</v>
      </c>
      <c r="F404" s="8" t="s">
        <v>2632</v>
      </c>
      <c r="G404" s="6" t="s">
        <v>37</v>
      </c>
      <c r="H404" s="6" t="s">
        <v>38</v>
      </c>
      <c r="I404" s="8" t="s">
        <v>120</v>
      </c>
      <c r="J404" s="9">
        <v>1</v>
      </c>
      <c r="K404" s="9">
        <v>303</v>
      </c>
      <c r="L404" s="9">
        <v>2021</v>
      </c>
      <c r="M404" s="8" t="s">
        <v>2633</v>
      </c>
      <c r="N404" s="8" t="s">
        <v>41</v>
      </c>
      <c r="O404" s="8" t="s">
        <v>42</v>
      </c>
      <c r="P404" s="6" t="s">
        <v>122</v>
      </c>
      <c r="Q404" s="8" t="s">
        <v>123</v>
      </c>
      <c r="R404" s="10" t="s">
        <v>2634</v>
      </c>
      <c r="S404" s="11"/>
      <c r="T404" s="6"/>
      <c r="U404" s="27" t="str">
        <f>HYPERLINK("https://media.infra-m.ru/1150/1150851/cover/1150851.jpg", "Обложка")</f>
        <v>Обложка</v>
      </c>
      <c r="V404" s="27" t="str">
        <f>HYPERLINK("https://znanium.com/catalog/product/1150851", "Ознакомиться")</f>
        <v>Ознакомиться</v>
      </c>
      <c r="W404" s="8" t="s">
        <v>149</v>
      </c>
      <c r="X404" s="6"/>
      <c r="Y404" s="6"/>
      <c r="Z404" s="6"/>
      <c r="AA404" s="6" t="s">
        <v>382</v>
      </c>
    </row>
    <row r="405" spans="1:27" s="4" customFormat="1" ht="51.95" customHeight="1">
      <c r="A405" s="5">
        <v>0</v>
      </c>
      <c r="B405" s="6" t="s">
        <v>2635</v>
      </c>
      <c r="C405" s="13">
        <v>1384</v>
      </c>
      <c r="D405" s="8" t="s">
        <v>2636</v>
      </c>
      <c r="E405" s="8" t="s">
        <v>2637</v>
      </c>
      <c r="F405" s="8" t="s">
        <v>2638</v>
      </c>
      <c r="G405" s="6" t="s">
        <v>37</v>
      </c>
      <c r="H405" s="6" t="s">
        <v>38</v>
      </c>
      <c r="I405" s="8" t="s">
        <v>392</v>
      </c>
      <c r="J405" s="9">
        <v>1</v>
      </c>
      <c r="K405" s="9">
        <v>300</v>
      </c>
      <c r="L405" s="9">
        <v>2024</v>
      </c>
      <c r="M405" s="8" t="s">
        <v>2639</v>
      </c>
      <c r="N405" s="8" t="s">
        <v>41</v>
      </c>
      <c r="O405" s="8" t="s">
        <v>42</v>
      </c>
      <c r="P405" s="6" t="s">
        <v>394</v>
      </c>
      <c r="Q405" s="8" t="s">
        <v>286</v>
      </c>
      <c r="R405" s="10" t="s">
        <v>2640</v>
      </c>
      <c r="S405" s="11"/>
      <c r="T405" s="6"/>
      <c r="U405" s="27" t="str">
        <f>HYPERLINK("https://media.infra-m.ru/2085/2085039/cover/2085039.jpg", "Обложка")</f>
        <v>Обложка</v>
      </c>
      <c r="V405" s="27" t="str">
        <f>HYPERLINK("https://znanium.com/catalog/product/1855508", "Ознакомиться")</f>
        <v>Ознакомиться</v>
      </c>
      <c r="W405" s="8" t="s">
        <v>125</v>
      </c>
      <c r="X405" s="6"/>
      <c r="Y405" s="6"/>
      <c r="Z405" s="6"/>
      <c r="AA405" s="6" t="s">
        <v>126</v>
      </c>
    </row>
    <row r="406" spans="1:27" s="4" customFormat="1" ht="51.95" customHeight="1">
      <c r="A406" s="5">
        <v>0</v>
      </c>
      <c r="B406" s="6" t="s">
        <v>2641</v>
      </c>
      <c r="C406" s="13">
        <v>1094.9000000000001</v>
      </c>
      <c r="D406" s="8" t="s">
        <v>2642</v>
      </c>
      <c r="E406" s="8" t="s">
        <v>2643</v>
      </c>
      <c r="F406" s="8" t="s">
        <v>2644</v>
      </c>
      <c r="G406" s="6" t="s">
        <v>119</v>
      </c>
      <c r="H406" s="6" t="s">
        <v>38</v>
      </c>
      <c r="I406" s="8" t="s">
        <v>120</v>
      </c>
      <c r="J406" s="9">
        <v>1</v>
      </c>
      <c r="K406" s="9">
        <v>280</v>
      </c>
      <c r="L406" s="9">
        <v>2022</v>
      </c>
      <c r="M406" s="8" t="s">
        <v>2645</v>
      </c>
      <c r="N406" s="8" t="s">
        <v>41</v>
      </c>
      <c r="O406" s="8" t="s">
        <v>502</v>
      </c>
      <c r="P406" s="6" t="s">
        <v>122</v>
      </c>
      <c r="Q406" s="8" t="s">
        <v>123</v>
      </c>
      <c r="R406" s="10" t="s">
        <v>2646</v>
      </c>
      <c r="S406" s="11"/>
      <c r="T406" s="6"/>
      <c r="U406" s="27" t="str">
        <f>HYPERLINK("https://media.infra-m.ru/1836/1836605/cover/1836605.jpg", "Обложка")</f>
        <v>Обложка</v>
      </c>
      <c r="V406" s="27" t="str">
        <f>HYPERLINK("https://znanium.com/catalog/product/978142", "Ознакомиться")</f>
        <v>Ознакомиться</v>
      </c>
      <c r="W406" s="8" t="s">
        <v>610</v>
      </c>
      <c r="X406" s="6"/>
      <c r="Y406" s="6"/>
      <c r="Z406" s="6"/>
      <c r="AA406" s="6" t="s">
        <v>339</v>
      </c>
    </row>
    <row r="407" spans="1:27" s="4" customFormat="1" ht="51.95" customHeight="1">
      <c r="A407" s="5">
        <v>0</v>
      </c>
      <c r="B407" s="6" t="s">
        <v>2647</v>
      </c>
      <c r="C407" s="7">
        <v>504.9</v>
      </c>
      <c r="D407" s="8" t="s">
        <v>2648</v>
      </c>
      <c r="E407" s="8" t="s">
        <v>2649</v>
      </c>
      <c r="F407" s="8" t="s">
        <v>2650</v>
      </c>
      <c r="G407" s="6" t="s">
        <v>119</v>
      </c>
      <c r="H407" s="6" t="s">
        <v>161</v>
      </c>
      <c r="I407" s="8" t="s">
        <v>73</v>
      </c>
      <c r="J407" s="9">
        <v>1</v>
      </c>
      <c r="K407" s="9">
        <v>112</v>
      </c>
      <c r="L407" s="9">
        <v>2023</v>
      </c>
      <c r="M407" s="8" t="s">
        <v>2651</v>
      </c>
      <c r="N407" s="8" t="s">
        <v>41</v>
      </c>
      <c r="O407" s="8" t="s">
        <v>401</v>
      </c>
      <c r="P407" s="6" t="s">
        <v>457</v>
      </c>
      <c r="Q407" s="8" t="s">
        <v>75</v>
      </c>
      <c r="R407" s="10" t="s">
        <v>2199</v>
      </c>
      <c r="S407" s="11" t="s">
        <v>570</v>
      </c>
      <c r="T407" s="6"/>
      <c r="U407" s="27" t="str">
        <f>HYPERLINK("https://media.infra-m.ru/2001/2001622/cover/2001622.jpg", "Обложка")</f>
        <v>Обложка</v>
      </c>
      <c r="V407" s="27" t="str">
        <f>HYPERLINK("https://znanium.com/catalog/product/2123407", "Ознакомиться")</f>
        <v>Ознакомиться</v>
      </c>
      <c r="W407" s="8" t="s">
        <v>419</v>
      </c>
      <c r="X407" s="6"/>
      <c r="Y407" s="6"/>
      <c r="Z407" s="6"/>
      <c r="AA407" s="6" t="s">
        <v>222</v>
      </c>
    </row>
    <row r="408" spans="1:27" s="4" customFormat="1" ht="51.95" customHeight="1">
      <c r="A408" s="5">
        <v>0</v>
      </c>
      <c r="B408" s="6" t="s">
        <v>2652</v>
      </c>
      <c r="C408" s="7">
        <v>520</v>
      </c>
      <c r="D408" s="8" t="s">
        <v>2653</v>
      </c>
      <c r="E408" s="8" t="s">
        <v>2649</v>
      </c>
      <c r="F408" s="8" t="s">
        <v>2650</v>
      </c>
      <c r="G408" s="6" t="s">
        <v>119</v>
      </c>
      <c r="H408" s="6" t="s">
        <v>161</v>
      </c>
      <c r="I408" s="8" t="s">
        <v>53</v>
      </c>
      <c r="J408" s="9">
        <v>1</v>
      </c>
      <c r="K408" s="9">
        <v>112</v>
      </c>
      <c r="L408" s="9">
        <v>2023</v>
      </c>
      <c r="M408" s="8" t="s">
        <v>2654</v>
      </c>
      <c r="N408" s="8" t="s">
        <v>41</v>
      </c>
      <c r="O408" s="8" t="s">
        <v>401</v>
      </c>
      <c r="P408" s="6" t="s">
        <v>457</v>
      </c>
      <c r="Q408" s="8" t="s">
        <v>56</v>
      </c>
      <c r="R408" s="10" t="s">
        <v>163</v>
      </c>
      <c r="S408" s="11" t="s">
        <v>1306</v>
      </c>
      <c r="T408" s="6"/>
      <c r="U408" s="27" t="str">
        <f>HYPERLINK("https://media.infra-m.ru/1986/1986564/cover/1986564.jpg", "Обложка")</f>
        <v>Обложка</v>
      </c>
      <c r="V408" s="27" t="str">
        <f>HYPERLINK("https://znanium.com/catalog/product/1986564", "Ознакомиться")</f>
        <v>Ознакомиться</v>
      </c>
      <c r="W408" s="8" t="s">
        <v>419</v>
      </c>
      <c r="X408" s="6"/>
      <c r="Y408" s="6"/>
      <c r="Z408" s="6" t="s">
        <v>60</v>
      </c>
      <c r="AA408" s="6" t="s">
        <v>61</v>
      </c>
    </row>
    <row r="409" spans="1:27" s="4" customFormat="1" ht="51.95" customHeight="1">
      <c r="A409" s="5">
        <v>0</v>
      </c>
      <c r="B409" s="6" t="s">
        <v>2655</v>
      </c>
      <c r="C409" s="13">
        <v>1724.9</v>
      </c>
      <c r="D409" s="8" t="s">
        <v>2656</v>
      </c>
      <c r="E409" s="8" t="s">
        <v>2657</v>
      </c>
      <c r="F409" s="8" t="s">
        <v>2658</v>
      </c>
      <c r="G409" s="6" t="s">
        <v>92</v>
      </c>
      <c r="H409" s="6" t="s">
        <v>161</v>
      </c>
      <c r="I409" s="8" t="s">
        <v>73</v>
      </c>
      <c r="J409" s="9">
        <v>1</v>
      </c>
      <c r="K409" s="9">
        <v>384</v>
      </c>
      <c r="L409" s="9">
        <v>2023</v>
      </c>
      <c r="M409" s="8" t="s">
        <v>2659</v>
      </c>
      <c r="N409" s="8" t="s">
        <v>41</v>
      </c>
      <c r="O409" s="8" t="s">
        <v>42</v>
      </c>
      <c r="P409" s="6" t="s">
        <v>43</v>
      </c>
      <c r="Q409" s="8" t="s">
        <v>75</v>
      </c>
      <c r="R409" s="10" t="s">
        <v>2199</v>
      </c>
      <c r="S409" s="11" t="s">
        <v>2660</v>
      </c>
      <c r="T409" s="6"/>
      <c r="U409" s="27" t="str">
        <f>HYPERLINK("https://media.infra-m.ru/1981/1981693/cover/1981693.jpg", "Обложка")</f>
        <v>Обложка</v>
      </c>
      <c r="V409" s="12"/>
      <c r="W409" s="8" t="s">
        <v>2352</v>
      </c>
      <c r="X409" s="6"/>
      <c r="Y409" s="6"/>
      <c r="Z409" s="6"/>
      <c r="AA409" s="6" t="s">
        <v>114</v>
      </c>
    </row>
    <row r="410" spans="1:27" s="4" customFormat="1" ht="51.95" customHeight="1">
      <c r="A410" s="5">
        <v>0</v>
      </c>
      <c r="B410" s="6" t="s">
        <v>2661</v>
      </c>
      <c r="C410" s="13">
        <v>1110</v>
      </c>
      <c r="D410" s="8" t="s">
        <v>2662</v>
      </c>
      <c r="E410" s="8" t="s">
        <v>2663</v>
      </c>
      <c r="F410" s="8" t="s">
        <v>370</v>
      </c>
      <c r="G410" s="6" t="s">
        <v>37</v>
      </c>
      <c r="H410" s="6" t="s">
        <v>38</v>
      </c>
      <c r="I410" s="8" t="s">
        <v>53</v>
      </c>
      <c r="J410" s="9">
        <v>1</v>
      </c>
      <c r="K410" s="9">
        <v>241</v>
      </c>
      <c r="L410" s="9">
        <v>2024</v>
      </c>
      <c r="M410" s="8" t="s">
        <v>2664</v>
      </c>
      <c r="N410" s="8" t="s">
        <v>41</v>
      </c>
      <c r="O410" s="8" t="s">
        <v>42</v>
      </c>
      <c r="P410" s="6" t="s">
        <v>43</v>
      </c>
      <c r="Q410" s="8" t="s">
        <v>56</v>
      </c>
      <c r="R410" s="10" t="s">
        <v>2665</v>
      </c>
      <c r="S410" s="11" t="s">
        <v>2666</v>
      </c>
      <c r="T410" s="6" t="s">
        <v>59</v>
      </c>
      <c r="U410" s="27" t="str">
        <f>HYPERLINK("https://media.infra-m.ru/2107/2107426/cover/2107426.jpg", "Обложка")</f>
        <v>Обложка</v>
      </c>
      <c r="V410" s="27" t="str">
        <f>HYPERLINK("https://znanium.com/catalog/product/2107426", "Ознакомиться")</f>
        <v>Ознакомиться</v>
      </c>
      <c r="W410" s="8" t="s">
        <v>373</v>
      </c>
      <c r="X410" s="6"/>
      <c r="Y410" s="6"/>
      <c r="Z410" s="6" t="s">
        <v>60</v>
      </c>
      <c r="AA410" s="6" t="s">
        <v>299</v>
      </c>
    </row>
    <row r="411" spans="1:27" s="4" customFormat="1" ht="51.95" customHeight="1">
      <c r="A411" s="5">
        <v>0</v>
      </c>
      <c r="B411" s="6" t="s">
        <v>2667</v>
      </c>
      <c r="C411" s="13">
        <v>1080</v>
      </c>
      <c r="D411" s="8" t="s">
        <v>2668</v>
      </c>
      <c r="E411" s="8" t="s">
        <v>2663</v>
      </c>
      <c r="F411" s="8" t="s">
        <v>370</v>
      </c>
      <c r="G411" s="6" t="s">
        <v>37</v>
      </c>
      <c r="H411" s="6" t="s">
        <v>38</v>
      </c>
      <c r="I411" s="8" t="s">
        <v>73</v>
      </c>
      <c r="J411" s="9">
        <v>1</v>
      </c>
      <c r="K411" s="9">
        <v>241</v>
      </c>
      <c r="L411" s="9">
        <v>2021</v>
      </c>
      <c r="M411" s="8" t="s">
        <v>2669</v>
      </c>
      <c r="N411" s="8" t="s">
        <v>41</v>
      </c>
      <c r="O411" s="8" t="s">
        <v>42</v>
      </c>
      <c r="P411" s="6" t="s">
        <v>43</v>
      </c>
      <c r="Q411" s="8" t="s">
        <v>75</v>
      </c>
      <c r="R411" s="10" t="s">
        <v>360</v>
      </c>
      <c r="S411" s="11" t="s">
        <v>504</v>
      </c>
      <c r="T411" s="6" t="s">
        <v>59</v>
      </c>
      <c r="U411" s="27" t="str">
        <f>HYPERLINK("https://media.infra-m.ru/1241/1241335/cover/1241335.jpg", "Обложка")</f>
        <v>Обложка</v>
      </c>
      <c r="V411" s="27" t="str">
        <f>HYPERLINK("https://znanium.com/catalog/product/1241335", "Ознакомиться")</f>
        <v>Ознакомиться</v>
      </c>
      <c r="W411" s="8" t="s">
        <v>373</v>
      </c>
      <c r="X411" s="6"/>
      <c r="Y411" s="6"/>
      <c r="Z411" s="6"/>
      <c r="AA411" s="6" t="s">
        <v>222</v>
      </c>
    </row>
    <row r="412" spans="1:27" s="4" customFormat="1" ht="44.1" customHeight="1">
      <c r="A412" s="5">
        <v>0</v>
      </c>
      <c r="B412" s="6" t="s">
        <v>2670</v>
      </c>
      <c r="C412" s="13">
        <v>1624</v>
      </c>
      <c r="D412" s="8" t="s">
        <v>2671</v>
      </c>
      <c r="E412" s="8" t="s">
        <v>2672</v>
      </c>
      <c r="F412" s="8" t="s">
        <v>2673</v>
      </c>
      <c r="G412" s="6" t="s">
        <v>119</v>
      </c>
      <c r="H412" s="6" t="s">
        <v>1120</v>
      </c>
      <c r="I412" s="8"/>
      <c r="J412" s="9">
        <v>1</v>
      </c>
      <c r="K412" s="9">
        <v>352</v>
      </c>
      <c r="L412" s="9">
        <v>2024</v>
      </c>
      <c r="M412" s="8" t="s">
        <v>2674</v>
      </c>
      <c r="N412" s="8" t="s">
        <v>41</v>
      </c>
      <c r="O412" s="8" t="s">
        <v>42</v>
      </c>
      <c r="P412" s="6" t="s">
        <v>43</v>
      </c>
      <c r="Q412" s="8" t="s">
        <v>75</v>
      </c>
      <c r="R412" s="10" t="s">
        <v>2426</v>
      </c>
      <c r="S412" s="11"/>
      <c r="T412" s="6"/>
      <c r="U412" s="27" t="str">
        <f>HYPERLINK("https://media.infra-m.ru/2087/2087267/cover/2087267.jpg", "Обложка")</f>
        <v>Обложка</v>
      </c>
      <c r="V412" s="27" t="str">
        <f>HYPERLINK("https://znanium.com/catalog/product/1946511", "Ознакомиться")</f>
        <v>Ознакомиться</v>
      </c>
      <c r="W412" s="8" t="s">
        <v>1017</v>
      </c>
      <c r="X412" s="6"/>
      <c r="Y412" s="6"/>
      <c r="Z412" s="6"/>
      <c r="AA412" s="6" t="s">
        <v>213</v>
      </c>
    </row>
    <row r="413" spans="1:27" s="4" customFormat="1" ht="51.95" customHeight="1">
      <c r="A413" s="5">
        <v>0</v>
      </c>
      <c r="B413" s="6" t="s">
        <v>2675</v>
      </c>
      <c r="C413" s="7">
        <v>510</v>
      </c>
      <c r="D413" s="8" t="s">
        <v>2676</v>
      </c>
      <c r="E413" s="8" t="s">
        <v>2677</v>
      </c>
      <c r="F413" s="8" t="s">
        <v>779</v>
      </c>
      <c r="G413" s="6" t="s">
        <v>119</v>
      </c>
      <c r="H413" s="6" t="s">
        <v>209</v>
      </c>
      <c r="I413" s="8"/>
      <c r="J413" s="9">
        <v>1</v>
      </c>
      <c r="K413" s="9">
        <v>144</v>
      </c>
      <c r="L413" s="9">
        <v>2020</v>
      </c>
      <c r="M413" s="8" t="s">
        <v>2678</v>
      </c>
      <c r="N413" s="8" t="s">
        <v>41</v>
      </c>
      <c r="O413" s="8" t="s">
        <v>42</v>
      </c>
      <c r="P413" s="6" t="s">
        <v>122</v>
      </c>
      <c r="Q413" s="8" t="s">
        <v>123</v>
      </c>
      <c r="R413" s="10" t="s">
        <v>2679</v>
      </c>
      <c r="S413" s="11"/>
      <c r="T413" s="6"/>
      <c r="U413" s="27" t="str">
        <f>HYPERLINK("https://media.infra-m.ru/1039/1039275/cover/1039275.jpg", "Обложка")</f>
        <v>Обложка</v>
      </c>
      <c r="V413" s="12"/>
      <c r="W413" s="8" t="s">
        <v>2680</v>
      </c>
      <c r="X413" s="6"/>
      <c r="Y413" s="6"/>
      <c r="Z413" s="6"/>
      <c r="AA413" s="6" t="s">
        <v>70</v>
      </c>
    </row>
    <row r="414" spans="1:27" s="4" customFormat="1" ht="51.95" customHeight="1">
      <c r="A414" s="5">
        <v>0</v>
      </c>
      <c r="B414" s="6" t="s">
        <v>2681</v>
      </c>
      <c r="C414" s="7">
        <v>750</v>
      </c>
      <c r="D414" s="8" t="s">
        <v>2682</v>
      </c>
      <c r="E414" s="8" t="s">
        <v>2683</v>
      </c>
      <c r="F414" s="8" t="s">
        <v>779</v>
      </c>
      <c r="G414" s="6" t="s">
        <v>119</v>
      </c>
      <c r="H414" s="6" t="s">
        <v>209</v>
      </c>
      <c r="I414" s="8" t="s">
        <v>120</v>
      </c>
      <c r="J414" s="9">
        <v>1</v>
      </c>
      <c r="K414" s="9">
        <v>162</v>
      </c>
      <c r="L414" s="9">
        <v>2024</v>
      </c>
      <c r="M414" s="8" t="s">
        <v>2684</v>
      </c>
      <c r="N414" s="8" t="s">
        <v>41</v>
      </c>
      <c r="O414" s="8" t="s">
        <v>42</v>
      </c>
      <c r="P414" s="6" t="s">
        <v>122</v>
      </c>
      <c r="Q414" s="8" t="s">
        <v>123</v>
      </c>
      <c r="R414" s="10" t="s">
        <v>2679</v>
      </c>
      <c r="S414" s="11"/>
      <c r="T414" s="6"/>
      <c r="U414" s="27" t="str">
        <f>HYPERLINK("https://media.infra-m.ru/2080/2080779/cover/2080779.jpg", "Обложка")</f>
        <v>Обложка</v>
      </c>
      <c r="V414" s="12"/>
      <c r="W414" s="8" t="s">
        <v>2680</v>
      </c>
      <c r="X414" s="6"/>
      <c r="Y414" s="6"/>
      <c r="Z414" s="6"/>
      <c r="AA414" s="6" t="s">
        <v>2685</v>
      </c>
    </row>
    <row r="415" spans="1:27" s="4" customFormat="1" ht="42" customHeight="1">
      <c r="A415" s="5">
        <v>0</v>
      </c>
      <c r="B415" s="6" t="s">
        <v>2686</v>
      </c>
      <c r="C415" s="7">
        <v>620</v>
      </c>
      <c r="D415" s="8" t="s">
        <v>2687</v>
      </c>
      <c r="E415" s="8" t="s">
        <v>2688</v>
      </c>
      <c r="F415" s="8" t="s">
        <v>2689</v>
      </c>
      <c r="G415" s="6" t="s">
        <v>119</v>
      </c>
      <c r="H415" s="6" t="s">
        <v>38</v>
      </c>
      <c r="I415" s="8" t="s">
        <v>120</v>
      </c>
      <c r="J415" s="9">
        <v>1</v>
      </c>
      <c r="K415" s="9">
        <v>162</v>
      </c>
      <c r="L415" s="9">
        <v>2022</v>
      </c>
      <c r="M415" s="8" t="s">
        <v>2690</v>
      </c>
      <c r="N415" s="8" t="s">
        <v>41</v>
      </c>
      <c r="O415" s="8" t="s">
        <v>401</v>
      </c>
      <c r="P415" s="6" t="s">
        <v>122</v>
      </c>
      <c r="Q415" s="8" t="s">
        <v>123</v>
      </c>
      <c r="R415" s="10" t="s">
        <v>2691</v>
      </c>
      <c r="S415" s="11"/>
      <c r="T415" s="6"/>
      <c r="U415" s="27" t="str">
        <f>HYPERLINK("https://media.infra-m.ru/1845/1845976/cover/1845976.jpg", "Обложка")</f>
        <v>Обложка</v>
      </c>
      <c r="V415" s="27" t="str">
        <f>HYPERLINK("https://znanium.com/catalog/product/1845976", "Ознакомиться")</f>
        <v>Ознакомиться</v>
      </c>
      <c r="W415" s="8" t="s">
        <v>1375</v>
      </c>
      <c r="X415" s="6"/>
      <c r="Y415" s="6"/>
      <c r="Z415" s="6"/>
      <c r="AA415" s="6" t="s">
        <v>150</v>
      </c>
    </row>
    <row r="416" spans="1:27" s="4" customFormat="1" ht="51.95" customHeight="1">
      <c r="A416" s="5">
        <v>0</v>
      </c>
      <c r="B416" s="6" t="s">
        <v>2692</v>
      </c>
      <c r="C416" s="7">
        <v>904.9</v>
      </c>
      <c r="D416" s="8" t="s">
        <v>2693</v>
      </c>
      <c r="E416" s="8" t="s">
        <v>2694</v>
      </c>
      <c r="F416" s="8" t="s">
        <v>1607</v>
      </c>
      <c r="G416" s="6" t="s">
        <v>37</v>
      </c>
      <c r="H416" s="6" t="s">
        <v>38</v>
      </c>
      <c r="I416" s="8" t="s">
        <v>73</v>
      </c>
      <c r="J416" s="9">
        <v>1</v>
      </c>
      <c r="K416" s="9">
        <v>238</v>
      </c>
      <c r="L416" s="9">
        <v>2022</v>
      </c>
      <c r="M416" s="8" t="s">
        <v>2695</v>
      </c>
      <c r="N416" s="8" t="s">
        <v>41</v>
      </c>
      <c r="O416" s="8" t="s">
        <v>42</v>
      </c>
      <c r="P416" s="6" t="s">
        <v>55</v>
      </c>
      <c r="Q416" s="8" t="s">
        <v>75</v>
      </c>
      <c r="R416" s="10" t="s">
        <v>2696</v>
      </c>
      <c r="S416" s="11" t="s">
        <v>2697</v>
      </c>
      <c r="T416" s="6" t="s">
        <v>59</v>
      </c>
      <c r="U416" s="27" t="str">
        <f>HYPERLINK("https://media.infra-m.ru/1856/1856249/cover/1856249.jpg", "Обложка")</f>
        <v>Обложка</v>
      </c>
      <c r="V416" s="27" t="str">
        <f>HYPERLINK("https://znanium.com/catalog/product/1073056", "Ознакомиться")</f>
        <v>Ознакомиться</v>
      </c>
      <c r="W416" s="8" t="s">
        <v>1611</v>
      </c>
      <c r="X416" s="6"/>
      <c r="Y416" s="6"/>
      <c r="Z416" s="6"/>
      <c r="AA416" s="6" t="s">
        <v>106</v>
      </c>
    </row>
    <row r="417" spans="1:27" s="4" customFormat="1" ht="51.95" customHeight="1">
      <c r="A417" s="5">
        <v>0</v>
      </c>
      <c r="B417" s="6" t="s">
        <v>2698</v>
      </c>
      <c r="C417" s="7">
        <v>814</v>
      </c>
      <c r="D417" s="8" t="s">
        <v>2699</v>
      </c>
      <c r="E417" s="8" t="s">
        <v>2694</v>
      </c>
      <c r="F417" s="8" t="s">
        <v>2700</v>
      </c>
      <c r="G417" s="6" t="s">
        <v>119</v>
      </c>
      <c r="H417" s="6" t="s">
        <v>161</v>
      </c>
      <c r="I417" s="8"/>
      <c r="J417" s="9">
        <v>1</v>
      </c>
      <c r="K417" s="9">
        <v>176</v>
      </c>
      <c r="L417" s="9">
        <v>2024</v>
      </c>
      <c r="M417" s="8" t="s">
        <v>2701</v>
      </c>
      <c r="N417" s="8" t="s">
        <v>41</v>
      </c>
      <c r="O417" s="8" t="s">
        <v>42</v>
      </c>
      <c r="P417" s="6" t="s">
        <v>43</v>
      </c>
      <c r="Q417" s="8" t="s">
        <v>75</v>
      </c>
      <c r="R417" s="10" t="s">
        <v>991</v>
      </c>
      <c r="S417" s="11" t="s">
        <v>1511</v>
      </c>
      <c r="T417" s="6"/>
      <c r="U417" s="27" t="str">
        <f>HYPERLINK("https://media.infra-m.ru/2061/2061194/cover/2061194.jpg", "Обложка")</f>
        <v>Обложка</v>
      </c>
      <c r="V417" s="12"/>
      <c r="W417" s="8" t="s">
        <v>125</v>
      </c>
      <c r="X417" s="6"/>
      <c r="Y417" s="6"/>
      <c r="Z417" s="6"/>
      <c r="AA417" s="6" t="s">
        <v>451</v>
      </c>
    </row>
    <row r="418" spans="1:27" s="4" customFormat="1" ht="51.95" customHeight="1">
      <c r="A418" s="5">
        <v>0</v>
      </c>
      <c r="B418" s="6" t="s">
        <v>2702</v>
      </c>
      <c r="C418" s="13">
        <v>1874.9</v>
      </c>
      <c r="D418" s="8" t="s">
        <v>2703</v>
      </c>
      <c r="E418" s="8" t="s">
        <v>2704</v>
      </c>
      <c r="F418" s="8" t="s">
        <v>1279</v>
      </c>
      <c r="G418" s="6" t="s">
        <v>92</v>
      </c>
      <c r="H418" s="6" t="s">
        <v>161</v>
      </c>
      <c r="I418" s="8" t="s">
        <v>73</v>
      </c>
      <c r="J418" s="9">
        <v>1</v>
      </c>
      <c r="K418" s="9">
        <v>416</v>
      </c>
      <c r="L418" s="9">
        <v>2023</v>
      </c>
      <c r="M418" s="8" t="s">
        <v>2705</v>
      </c>
      <c r="N418" s="8" t="s">
        <v>41</v>
      </c>
      <c r="O418" s="8" t="s">
        <v>42</v>
      </c>
      <c r="P418" s="6" t="s">
        <v>43</v>
      </c>
      <c r="Q418" s="8" t="s">
        <v>75</v>
      </c>
      <c r="R418" s="10" t="s">
        <v>2706</v>
      </c>
      <c r="S418" s="11" t="s">
        <v>2707</v>
      </c>
      <c r="T418" s="6"/>
      <c r="U418" s="27" t="str">
        <f>HYPERLINK("https://media.infra-m.ru/1082/1082301/cover/1082301.jpg", "Обложка")</f>
        <v>Обложка</v>
      </c>
      <c r="V418" s="27" t="str">
        <f>HYPERLINK("https://znanium.com/catalog/product/406091", "Ознакомиться")</f>
        <v>Ознакомиться</v>
      </c>
      <c r="W418" s="8" t="s">
        <v>125</v>
      </c>
      <c r="X418" s="6"/>
      <c r="Y418" s="6"/>
      <c r="Z418" s="6"/>
      <c r="AA418" s="6" t="s">
        <v>114</v>
      </c>
    </row>
    <row r="419" spans="1:27" s="4" customFormat="1" ht="51.95" customHeight="1">
      <c r="A419" s="5">
        <v>0</v>
      </c>
      <c r="B419" s="6" t="s">
        <v>2708</v>
      </c>
      <c r="C419" s="13">
        <v>1430</v>
      </c>
      <c r="D419" s="8" t="s">
        <v>2709</v>
      </c>
      <c r="E419" s="8" t="s">
        <v>2710</v>
      </c>
      <c r="F419" s="8" t="s">
        <v>874</v>
      </c>
      <c r="G419" s="6" t="s">
        <v>92</v>
      </c>
      <c r="H419" s="6" t="s">
        <v>38</v>
      </c>
      <c r="I419" s="8" t="s">
        <v>53</v>
      </c>
      <c r="J419" s="9">
        <v>1</v>
      </c>
      <c r="K419" s="9">
        <v>386</v>
      </c>
      <c r="L419" s="9">
        <v>2021</v>
      </c>
      <c r="M419" s="8" t="s">
        <v>2711</v>
      </c>
      <c r="N419" s="8" t="s">
        <v>41</v>
      </c>
      <c r="O419" s="8" t="s">
        <v>42</v>
      </c>
      <c r="P419" s="6" t="s">
        <v>43</v>
      </c>
      <c r="Q419" s="8" t="s">
        <v>56</v>
      </c>
      <c r="R419" s="10" t="s">
        <v>155</v>
      </c>
      <c r="S419" s="11" t="s">
        <v>2712</v>
      </c>
      <c r="T419" s="6"/>
      <c r="U419" s="27" t="str">
        <f>HYPERLINK("https://media.infra-m.ru/1480/1480100/cover/1480100.jpg", "Обложка")</f>
        <v>Обложка</v>
      </c>
      <c r="V419" s="27" t="str">
        <f>HYPERLINK("https://znanium.com/catalog/product/1480100", "Ознакомиться")</f>
        <v>Ознакомиться</v>
      </c>
      <c r="W419" s="8" t="s">
        <v>419</v>
      </c>
      <c r="X419" s="6"/>
      <c r="Y419" s="6"/>
      <c r="Z419" s="6" t="s">
        <v>60</v>
      </c>
      <c r="AA419" s="6" t="s">
        <v>299</v>
      </c>
    </row>
    <row r="420" spans="1:27" s="4" customFormat="1" ht="51.95" customHeight="1">
      <c r="A420" s="5">
        <v>0</v>
      </c>
      <c r="B420" s="6" t="s">
        <v>2713</v>
      </c>
      <c r="C420" s="13">
        <v>1734.9</v>
      </c>
      <c r="D420" s="8" t="s">
        <v>2714</v>
      </c>
      <c r="E420" s="8" t="s">
        <v>2710</v>
      </c>
      <c r="F420" s="8" t="s">
        <v>874</v>
      </c>
      <c r="G420" s="6" t="s">
        <v>37</v>
      </c>
      <c r="H420" s="6" t="s">
        <v>38</v>
      </c>
      <c r="I420" s="8" t="s">
        <v>73</v>
      </c>
      <c r="J420" s="9">
        <v>1</v>
      </c>
      <c r="K420" s="9">
        <v>386</v>
      </c>
      <c r="L420" s="9">
        <v>2023</v>
      </c>
      <c r="M420" s="8" t="s">
        <v>2715</v>
      </c>
      <c r="N420" s="8" t="s">
        <v>41</v>
      </c>
      <c r="O420" s="8" t="s">
        <v>42</v>
      </c>
      <c r="P420" s="6" t="s">
        <v>43</v>
      </c>
      <c r="Q420" s="8" t="s">
        <v>75</v>
      </c>
      <c r="R420" s="10" t="s">
        <v>2454</v>
      </c>
      <c r="S420" s="11" t="s">
        <v>2716</v>
      </c>
      <c r="T420" s="6"/>
      <c r="U420" s="27" t="str">
        <f>HYPERLINK("https://media.infra-m.ru/2045/2045985/cover/2045985.jpg", "Обложка")</f>
        <v>Обложка</v>
      </c>
      <c r="V420" s="27" t="str">
        <f>HYPERLINK("https://znanium.com/catalog/product/1077352", "Ознакомиться")</f>
        <v>Ознакомиться</v>
      </c>
      <c r="W420" s="8" t="s">
        <v>419</v>
      </c>
      <c r="X420" s="6"/>
      <c r="Y420" s="6"/>
      <c r="Z420" s="6"/>
      <c r="AA420" s="6" t="s">
        <v>299</v>
      </c>
    </row>
    <row r="421" spans="1:27" s="4" customFormat="1" ht="51.95" customHeight="1">
      <c r="A421" s="5">
        <v>0</v>
      </c>
      <c r="B421" s="6" t="s">
        <v>2717</v>
      </c>
      <c r="C421" s="7">
        <v>834</v>
      </c>
      <c r="D421" s="8" t="s">
        <v>2718</v>
      </c>
      <c r="E421" s="8" t="s">
        <v>2719</v>
      </c>
      <c r="F421" s="8" t="s">
        <v>2720</v>
      </c>
      <c r="G421" s="6" t="s">
        <v>92</v>
      </c>
      <c r="H421" s="6" t="s">
        <v>38</v>
      </c>
      <c r="I421" s="8" t="s">
        <v>39</v>
      </c>
      <c r="J421" s="9">
        <v>1</v>
      </c>
      <c r="K421" s="9">
        <v>180</v>
      </c>
      <c r="L421" s="9">
        <v>2024</v>
      </c>
      <c r="M421" s="8" t="s">
        <v>2721</v>
      </c>
      <c r="N421" s="8" t="s">
        <v>41</v>
      </c>
      <c r="O421" s="8" t="s">
        <v>401</v>
      </c>
      <c r="P421" s="6" t="s">
        <v>55</v>
      </c>
      <c r="Q421" s="8" t="s">
        <v>75</v>
      </c>
      <c r="R421" s="10" t="s">
        <v>2722</v>
      </c>
      <c r="S421" s="11"/>
      <c r="T421" s="6"/>
      <c r="U421" s="27" t="str">
        <f>HYPERLINK("https://media.infra-m.ru/2102/2102167/cover/2102167.jpg", "Обложка")</f>
        <v>Обложка</v>
      </c>
      <c r="V421" s="27" t="str">
        <f>HYPERLINK("https://znanium.com/catalog/product/1247716", "Ознакомиться")</f>
        <v>Ознакомиться</v>
      </c>
      <c r="W421" s="8" t="s">
        <v>1024</v>
      </c>
      <c r="X421" s="6"/>
      <c r="Y421" s="6"/>
      <c r="Z421" s="6"/>
      <c r="AA421" s="6" t="s">
        <v>114</v>
      </c>
    </row>
    <row r="422" spans="1:27" s="4" customFormat="1" ht="51.95" customHeight="1">
      <c r="A422" s="5">
        <v>0</v>
      </c>
      <c r="B422" s="6" t="s">
        <v>2723</v>
      </c>
      <c r="C422" s="13">
        <v>1154.9000000000001</v>
      </c>
      <c r="D422" s="8" t="s">
        <v>2724</v>
      </c>
      <c r="E422" s="8" t="s">
        <v>2725</v>
      </c>
      <c r="F422" s="8" t="s">
        <v>2726</v>
      </c>
      <c r="G422" s="6" t="s">
        <v>92</v>
      </c>
      <c r="H422" s="6" t="s">
        <v>1120</v>
      </c>
      <c r="I422" s="8"/>
      <c r="J422" s="9">
        <v>1</v>
      </c>
      <c r="K422" s="9">
        <v>304</v>
      </c>
      <c r="L422" s="9">
        <v>2022</v>
      </c>
      <c r="M422" s="8" t="s">
        <v>2727</v>
      </c>
      <c r="N422" s="8" t="s">
        <v>41</v>
      </c>
      <c r="O422" s="8" t="s">
        <v>401</v>
      </c>
      <c r="P422" s="6" t="s">
        <v>43</v>
      </c>
      <c r="Q422" s="8" t="s">
        <v>75</v>
      </c>
      <c r="R422" s="10" t="s">
        <v>2728</v>
      </c>
      <c r="S422" s="11" t="s">
        <v>2729</v>
      </c>
      <c r="T422" s="6"/>
      <c r="U422" s="27" t="str">
        <f>HYPERLINK("https://media.infra-m.ru/1843/1843617/cover/1843617.jpg", "Обложка")</f>
        <v>Обложка</v>
      </c>
      <c r="V422" s="27" t="str">
        <f>HYPERLINK("https://znanium.com/catalog/product/1027417", "Ознакомиться")</f>
        <v>Ознакомиться</v>
      </c>
      <c r="W422" s="8" t="s">
        <v>543</v>
      </c>
      <c r="X422" s="6"/>
      <c r="Y422" s="6"/>
      <c r="Z422" s="6"/>
      <c r="AA422" s="6" t="s">
        <v>150</v>
      </c>
    </row>
    <row r="423" spans="1:27" s="4" customFormat="1" ht="51.95" customHeight="1">
      <c r="A423" s="5">
        <v>0</v>
      </c>
      <c r="B423" s="6" t="s">
        <v>2730</v>
      </c>
      <c r="C423" s="7">
        <v>884</v>
      </c>
      <c r="D423" s="8" t="s">
        <v>2731</v>
      </c>
      <c r="E423" s="8" t="s">
        <v>2732</v>
      </c>
      <c r="F423" s="8" t="s">
        <v>2733</v>
      </c>
      <c r="G423" s="6" t="s">
        <v>119</v>
      </c>
      <c r="H423" s="6" t="s">
        <v>93</v>
      </c>
      <c r="I423" s="8"/>
      <c r="J423" s="9">
        <v>1</v>
      </c>
      <c r="K423" s="9">
        <v>192</v>
      </c>
      <c r="L423" s="9">
        <v>2024</v>
      </c>
      <c r="M423" s="8" t="s">
        <v>2734</v>
      </c>
      <c r="N423" s="8" t="s">
        <v>41</v>
      </c>
      <c r="O423" s="8" t="s">
        <v>401</v>
      </c>
      <c r="P423" s="6" t="s">
        <v>43</v>
      </c>
      <c r="Q423" s="8" t="s">
        <v>75</v>
      </c>
      <c r="R423" s="10" t="s">
        <v>2735</v>
      </c>
      <c r="S423" s="11"/>
      <c r="T423" s="6"/>
      <c r="U423" s="27" t="str">
        <f>HYPERLINK("https://media.infra-m.ru/2102/2102170/cover/2102170.jpg", "Обложка")</f>
        <v>Обложка</v>
      </c>
      <c r="V423" s="27" t="str">
        <f>HYPERLINK("https://znanium.com/catalog/product/1067532", "Ознакомиться")</f>
        <v>Ознакомиться</v>
      </c>
      <c r="W423" s="8" t="s">
        <v>1024</v>
      </c>
      <c r="X423" s="6"/>
      <c r="Y423" s="6"/>
      <c r="Z423" s="6"/>
      <c r="AA423" s="6" t="s">
        <v>114</v>
      </c>
    </row>
    <row r="424" spans="1:27" s="4" customFormat="1" ht="42" customHeight="1">
      <c r="A424" s="5">
        <v>0</v>
      </c>
      <c r="B424" s="6" t="s">
        <v>2736</v>
      </c>
      <c r="C424" s="13">
        <v>2294.9</v>
      </c>
      <c r="D424" s="8" t="s">
        <v>2737</v>
      </c>
      <c r="E424" s="8" t="s">
        <v>2738</v>
      </c>
      <c r="F424" s="8" t="s">
        <v>2739</v>
      </c>
      <c r="G424" s="6" t="s">
        <v>92</v>
      </c>
      <c r="H424" s="6" t="s">
        <v>717</v>
      </c>
      <c r="I424" s="8"/>
      <c r="J424" s="9">
        <v>1</v>
      </c>
      <c r="K424" s="9">
        <v>571</v>
      </c>
      <c r="L424" s="9">
        <v>2022</v>
      </c>
      <c r="M424" s="8" t="s">
        <v>2740</v>
      </c>
      <c r="N424" s="8" t="s">
        <v>41</v>
      </c>
      <c r="O424" s="8" t="s">
        <v>42</v>
      </c>
      <c r="P424" s="6" t="s">
        <v>55</v>
      </c>
      <c r="Q424" s="8" t="s">
        <v>75</v>
      </c>
      <c r="R424" s="10" t="s">
        <v>1003</v>
      </c>
      <c r="S424" s="11"/>
      <c r="T424" s="6"/>
      <c r="U424" s="27" t="str">
        <f>HYPERLINK("https://media.infra-m.ru/1237/1237098/cover/1237098.jpg", "Обложка")</f>
        <v>Обложка</v>
      </c>
      <c r="V424" s="12"/>
      <c r="W424" s="8" t="s">
        <v>665</v>
      </c>
      <c r="X424" s="6"/>
      <c r="Y424" s="6"/>
      <c r="Z424" s="6"/>
      <c r="AA424" s="6" t="s">
        <v>2741</v>
      </c>
    </row>
    <row r="425" spans="1:27" s="4" customFormat="1" ht="42" customHeight="1">
      <c r="A425" s="5">
        <v>0</v>
      </c>
      <c r="B425" s="6" t="s">
        <v>2742</v>
      </c>
      <c r="C425" s="7">
        <v>634</v>
      </c>
      <c r="D425" s="8" t="s">
        <v>2743</v>
      </c>
      <c r="E425" s="8" t="s">
        <v>2744</v>
      </c>
      <c r="F425" s="8" t="s">
        <v>2745</v>
      </c>
      <c r="G425" s="6" t="s">
        <v>119</v>
      </c>
      <c r="H425" s="6" t="s">
        <v>38</v>
      </c>
      <c r="I425" s="8" t="s">
        <v>120</v>
      </c>
      <c r="J425" s="9">
        <v>1</v>
      </c>
      <c r="K425" s="9">
        <v>138</v>
      </c>
      <c r="L425" s="9">
        <v>2023</v>
      </c>
      <c r="M425" s="8" t="s">
        <v>2746</v>
      </c>
      <c r="N425" s="8" t="s">
        <v>41</v>
      </c>
      <c r="O425" s="8" t="s">
        <v>401</v>
      </c>
      <c r="P425" s="6" t="s">
        <v>122</v>
      </c>
      <c r="Q425" s="8" t="s">
        <v>123</v>
      </c>
      <c r="R425" s="10" t="s">
        <v>2747</v>
      </c>
      <c r="S425" s="11"/>
      <c r="T425" s="6"/>
      <c r="U425" s="27" t="str">
        <f>HYPERLINK("https://media.infra-m.ru/2080/2080730/cover/2080730.jpg", "Обложка")</f>
        <v>Обложка</v>
      </c>
      <c r="V425" s="27" t="str">
        <f>HYPERLINK("https://znanium.com/catalog/product/1022270", "Ознакомиться")</f>
        <v>Ознакомиться</v>
      </c>
      <c r="W425" s="8" t="s">
        <v>1375</v>
      </c>
      <c r="X425" s="6"/>
      <c r="Y425" s="6"/>
      <c r="Z425" s="6"/>
      <c r="AA425" s="6" t="s">
        <v>150</v>
      </c>
    </row>
    <row r="426" spans="1:27" s="4" customFormat="1" ht="51.95" customHeight="1">
      <c r="A426" s="5">
        <v>0</v>
      </c>
      <c r="B426" s="6" t="s">
        <v>2748</v>
      </c>
      <c r="C426" s="13">
        <v>1654.9</v>
      </c>
      <c r="D426" s="8" t="s">
        <v>2749</v>
      </c>
      <c r="E426" s="8" t="s">
        <v>2750</v>
      </c>
      <c r="F426" s="8" t="s">
        <v>2751</v>
      </c>
      <c r="G426" s="6" t="s">
        <v>92</v>
      </c>
      <c r="H426" s="6" t="s">
        <v>131</v>
      </c>
      <c r="I426" s="8" t="s">
        <v>132</v>
      </c>
      <c r="J426" s="9">
        <v>1</v>
      </c>
      <c r="K426" s="9">
        <v>368</v>
      </c>
      <c r="L426" s="9">
        <v>2023</v>
      </c>
      <c r="M426" s="8" t="s">
        <v>2752</v>
      </c>
      <c r="N426" s="8" t="s">
        <v>41</v>
      </c>
      <c r="O426" s="8" t="s">
        <v>42</v>
      </c>
      <c r="P426" s="6" t="s">
        <v>55</v>
      </c>
      <c r="Q426" s="8" t="s">
        <v>75</v>
      </c>
      <c r="R426" s="10" t="s">
        <v>760</v>
      </c>
      <c r="S426" s="11" t="s">
        <v>2753</v>
      </c>
      <c r="T426" s="6"/>
      <c r="U426" s="27" t="str">
        <f>HYPERLINK("https://media.infra-m.ru/1981/1981703/cover/1981703.jpg", "Обложка")</f>
        <v>Обложка</v>
      </c>
      <c r="V426" s="27" t="str">
        <f>HYPERLINK("https://znanium.com/catalog/product/1044006", "Ознакомиться")</f>
        <v>Ознакомиться</v>
      </c>
      <c r="W426" s="8" t="s">
        <v>125</v>
      </c>
      <c r="X426" s="6"/>
      <c r="Y426" s="6"/>
      <c r="Z426" s="6"/>
      <c r="AA426" s="6" t="s">
        <v>114</v>
      </c>
    </row>
    <row r="427" spans="1:27" s="4" customFormat="1" ht="51.95" customHeight="1">
      <c r="A427" s="5">
        <v>0</v>
      </c>
      <c r="B427" s="6" t="s">
        <v>2754</v>
      </c>
      <c r="C427" s="13">
        <v>1174.9000000000001</v>
      </c>
      <c r="D427" s="8" t="s">
        <v>2755</v>
      </c>
      <c r="E427" s="8" t="s">
        <v>2756</v>
      </c>
      <c r="F427" s="8" t="s">
        <v>1198</v>
      </c>
      <c r="G427" s="6" t="s">
        <v>37</v>
      </c>
      <c r="H427" s="6" t="s">
        <v>38</v>
      </c>
      <c r="I427" s="8" t="s">
        <v>73</v>
      </c>
      <c r="J427" s="9">
        <v>1</v>
      </c>
      <c r="K427" s="9">
        <v>261</v>
      </c>
      <c r="L427" s="9">
        <v>2023</v>
      </c>
      <c r="M427" s="8" t="s">
        <v>2757</v>
      </c>
      <c r="N427" s="8" t="s">
        <v>41</v>
      </c>
      <c r="O427" s="8" t="s">
        <v>42</v>
      </c>
      <c r="P427" s="6" t="s">
        <v>55</v>
      </c>
      <c r="Q427" s="8" t="s">
        <v>75</v>
      </c>
      <c r="R427" s="10" t="s">
        <v>918</v>
      </c>
      <c r="S427" s="11" t="s">
        <v>2758</v>
      </c>
      <c r="T427" s="6" t="s">
        <v>59</v>
      </c>
      <c r="U427" s="27" t="str">
        <f>HYPERLINK("https://media.infra-m.ru/1930/1930691/cover/1930691.jpg", "Обложка")</f>
        <v>Обложка</v>
      </c>
      <c r="V427" s="27" t="str">
        <f>HYPERLINK("https://znanium.com/catalog/product/1930671", "Ознакомиться")</f>
        <v>Ознакомиться</v>
      </c>
      <c r="W427" s="8" t="s">
        <v>125</v>
      </c>
      <c r="X427" s="6"/>
      <c r="Y427" s="6"/>
      <c r="Z427" s="6"/>
      <c r="AA427" s="6" t="s">
        <v>166</v>
      </c>
    </row>
    <row r="428" spans="1:27" s="4" customFormat="1" ht="51.95" customHeight="1">
      <c r="A428" s="5">
        <v>0</v>
      </c>
      <c r="B428" s="6" t="s">
        <v>2759</v>
      </c>
      <c r="C428" s="7">
        <v>594</v>
      </c>
      <c r="D428" s="8" t="s">
        <v>2760</v>
      </c>
      <c r="E428" s="8" t="s">
        <v>2761</v>
      </c>
      <c r="F428" s="8" t="s">
        <v>2762</v>
      </c>
      <c r="G428" s="6" t="s">
        <v>119</v>
      </c>
      <c r="H428" s="6" t="s">
        <v>93</v>
      </c>
      <c r="I428" s="8"/>
      <c r="J428" s="9">
        <v>1</v>
      </c>
      <c r="K428" s="9">
        <v>128</v>
      </c>
      <c r="L428" s="9">
        <v>2024</v>
      </c>
      <c r="M428" s="8" t="s">
        <v>2763</v>
      </c>
      <c r="N428" s="8" t="s">
        <v>41</v>
      </c>
      <c r="O428" s="8" t="s">
        <v>42</v>
      </c>
      <c r="P428" s="6" t="s">
        <v>43</v>
      </c>
      <c r="Q428" s="8" t="s">
        <v>75</v>
      </c>
      <c r="R428" s="10" t="s">
        <v>2764</v>
      </c>
      <c r="S428" s="11"/>
      <c r="T428" s="6"/>
      <c r="U428" s="27" t="str">
        <f>HYPERLINK("https://media.infra-m.ru/2103/2103698/cover/2103698.jpg", "Обложка")</f>
        <v>Обложка</v>
      </c>
      <c r="V428" s="27" t="str">
        <f>HYPERLINK("https://znanium.com/catalog/product/1067407", "Ознакомиться")</f>
        <v>Ознакомиться</v>
      </c>
      <c r="W428" s="8" t="s">
        <v>1332</v>
      </c>
      <c r="X428" s="6"/>
      <c r="Y428" s="6"/>
      <c r="Z428" s="6"/>
      <c r="AA428" s="6" t="s">
        <v>451</v>
      </c>
    </row>
    <row r="429" spans="1:27" s="4" customFormat="1" ht="42" customHeight="1">
      <c r="A429" s="5">
        <v>0</v>
      </c>
      <c r="B429" s="6" t="s">
        <v>2765</v>
      </c>
      <c r="C429" s="7">
        <v>494.9</v>
      </c>
      <c r="D429" s="8" t="s">
        <v>2766</v>
      </c>
      <c r="E429" s="8" t="s">
        <v>2767</v>
      </c>
      <c r="F429" s="8" t="s">
        <v>2768</v>
      </c>
      <c r="G429" s="6" t="s">
        <v>119</v>
      </c>
      <c r="H429" s="6" t="s">
        <v>38</v>
      </c>
      <c r="I429" s="8" t="s">
        <v>120</v>
      </c>
      <c r="J429" s="9">
        <v>1</v>
      </c>
      <c r="K429" s="9">
        <v>143</v>
      </c>
      <c r="L429" s="9">
        <v>2019</v>
      </c>
      <c r="M429" s="8" t="s">
        <v>2769</v>
      </c>
      <c r="N429" s="8" t="s">
        <v>41</v>
      </c>
      <c r="O429" s="8" t="s">
        <v>401</v>
      </c>
      <c r="P429" s="6" t="s">
        <v>122</v>
      </c>
      <c r="Q429" s="8" t="s">
        <v>123</v>
      </c>
      <c r="R429" s="10" t="s">
        <v>2747</v>
      </c>
      <c r="S429" s="11"/>
      <c r="T429" s="6"/>
      <c r="U429" s="27" t="str">
        <f>HYPERLINK("https://media.infra-m.ru/0960/0960032/cover/960032.jpg", "Обложка")</f>
        <v>Обложка</v>
      </c>
      <c r="V429" s="27" t="str">
        <f>HYPERLINK("https://znanium.com/catalog/product/960032", "Ознакомиться")</f>
        <v>Ознакомиться</v>
      </c>
      <c r="W429" s="8" t="s">
        <v>1375</v>
      </c>
      <c r="X429" s="6"/>
      <c r="Y429" s="6"/>
      <c r="Z429" s="6"/>
      <c r="AA429" s="6" t="s">
        <v>150</v>
      </c>
    </row>
    <row r="430" spans="1:27" s="4" customFormat="1" ht="51.95" customHeight="1">
      <c r="A430" s="5">
        <v>0</v>
      </c>
      <c r="B430" s="6" t="s">
        <v>2770</v>
      </c>
      <c r="C430" s="7">
        <v>974.9</v>
      </c>
      <c r="D430" s="8" t="s">
        <v>2771</v>
      </c>
      <c r="E430" s="8" t="s">
        <v>2772</v>
      </c>
      <c r="F430" s="8" t="s">
        <v>2773</v>
      </c>
      <c r="G430" s="6" t="s">
        <v>119</v>
      </c>
      <c r="H430" s="6" t="s">
        <v>93</v>
      </c>
      <c r="I430" s="8" t="s">
        <v>474</v>
      </c>
      <c r="J430" s="9">
        <v>1</v>
      </c>
      <c r="K430" s="9">
        <v>256</v>
      </c>
      <c r="L430" s="9">
        <v>2022</v>
      </c>
      <c r="M430" s="8" t="s">
        <v>2774</v>
      </c>
      <c r="N430" s="8" t="s">
        <v>41</v>
      </c>
      <c r="O430" s="8" t="s">
        <v>42</v>
      </c>
      <c r="P430" s="6" t="s">
        <v>43</v>
      </c>
      <c r="Q430" s="8" t="s">
        <v>75</v>
      </c>
      <c r="R430" s="10" t="s">
        <v>2173</v>
      </c>
      <c r="S430" s="11" t="s">
        <v>483</v>
      </c>
      <c r="T430" s="6"/>
      <c r="U430" s="27" t="str">
        <f>HYPERLINK("https://media.infra-m.ru/1846/1846449/cover/1846449.jpg", "Обложка")</f>
        <v>Обложка</v>
      </c>
      <c r="V430" s="27" t="str">
        <f>HYPERLINK("https://znanium.com/catalog/product/1846449", "Ознакомиться")</f>
        <v>Ознакомиться</v>
      </c>
      <c r="W430" s="8" t="s">
        <v>306</v>
      </c>
      <c r="X430" s="6"/>
      <c r="Y430" s="6"/>
      <c r="Z430" s="6"/>
      <c r="AA430" s="6" t="s">
        <v>114</v>
      </c>
    </row>
    <row r="431" spans="1:27" s="4" customFormat="1" ht="51.95" customHeight="1">
      <c r="A431" s="5">
        <v>0</v>
      </c>
      <c r="B431" s="6" t="s">
        <v>2775</v>
      </c>
      <c r="C431" s="7">
        <v>710</v>
      </c>
      <c r="D431" s="8" t="s">
        <v>2776</v>
      </c>
      <c r="E431" s="8" t="s">
        <v>2777</v>
      </c>
      <c r="F431" s="8" t="s">
        <v>1198</v>
      </c>
      <c r="G431" s="6" t="s">
        <v>37</v>
      </c>
      <c r="H431" s="6" t="s">
        <v>38</v>
      </c>
      <c r="I431" s="8" t="s">
        <v>73</v>
      </c>
      <c r="J431" s="9">
        <v>1</v>
      </c>
      <c r="K431" s="9">
        <v>208</v>
      </c>
      <c r="L431" s="9">
        <v>2020</v>
      </c>
      <c r="M431" s="8" t="s">
        <v>2778</v>
      </c>
      <c r="N431" s="8" t="s">
        <v>41</v>
      </c>
      <c r="O431" s="8" t="s">
        <v>42</v>
      </c>
      <c r="P431" s="6" t="s">
        <v>43</v>
      </c>
      <c r="Q431" s="8" t="s">
        <v>75</v>
      </c>
      <c r="R431" s="10" t="s">
        <v>2779</v>
      </c>
      <c r="S431" s="11" t="s">
        <v>2780</v>
      </c>
      <c r="T431" s="6"/>
      <c r="U431" s="27" t="str">
        <f>HYPERLINK("https://media.infra-m.ru/1044/1044244/cover/1044244.jpg", "Обложка")</f>
        <v>Обложка</v>
      </c>
      <c r="V431" s="27" t="str">
        <f>HYPERLINK("https://znanium.com/catalog/product/1989243", "Ознакомиться")</f>
        <v>Ознакомиться</v>
      </c>
      <c r="W431" s="8" t="s">
        <v>125</v>
      </c>
      <c r="X431" s="6"/>
      <c r="Y431" s="6"/>
      <c r="Z431" s="6"/>
      <c r="AA431" s="6" t="s">
        <v>47</v>
      </c>
    </row>
    <row r="432" spans="1:27" s="4" customFormat="1" ht="51.95" customHeight="1">
      <c r="A432" s="5">
        <v>0</v>
      </c>
      <c r="B432" s="6" t="s">
        <v>2781</v>
      </c>
      <c r="C432" s="7">
        <v>924</v>
      </c>
      <c r="D432" s="8" t="s">
        <v>2782</v>
      </c>
      <c r="E432" s="8" t="s">
        <v>2783</v>
      </c>
      <c r="F432" s="8" t="s">
        <v>547</v>
      </c>
      <c r="G432" s="6" t="s">
        <v>92</v>
      </c>
      <c r="H432" s="6" t="s">
        <v>52</v>
      </c>
      <c r="I432" s="8"/>
      <c r="J432" s="9">
        <v>1</v>
      </c>
      <c r="K432" s="9">
        <v>200</v>
      </c>
      <c r="L432" s="9">
        <v>2024</v>
      </c>
      <c r="M432" s="8" t="s">
        <v>2784</v>
      </c>
      <c r="N432" s="8" t="s">
        <v>41</v>
      </c>
      <c r="O432" s="8" t="s">
        <v>42</v>
      </c>
      <c r="P432" s="6" t="s">
        <v>43</v>
      </c>
      <c r="Q432" s="8" t="s">
        <v>75</v>
      </c>
      <c r="R432" s="10" t="s">
        <v>2785</v>
      </c>
      <c r="S432" s="11" t="s">
        <v>2786</v>
      </c>
      <c r="T432" s="6"/>
      <c r="U432" s="27" t="str">
        <f>HYPERLINK("https://media.infra-m.ru/2091/2091926/cover/2091926.jpg", "Обложка")</f>
        <v>Обложка</v>
      </c>
      <c r="V432" s="27" t="str">
        <f>HYPERLINK("https://znanium.com/catalog/product/1010815", "Ознакомиться")</f>
        <v>Ознакомиться</v>
      </c>
      <c r="W432" s="8" t="s">
        <v>125</v>
      </c>
      <c r="X432" s="6"/>
      <c r="Y432" s="6"/>
      <c r="Z432" s="6"/>
      <c r="AA432" s="6" t="s">
        <v>114</v>
      </c>
    </row>
    <row r="433" spans="1:27" s="4" customFormat="1" ht="51.95" customHeight="1">
      <c r="A433" s="5">
        <v>0</v>
      </c>
      <c r="B433" s="6" t="s">
        <v>2787</v>
      </c>
      <c r="C433" s="13">
        <v>1094</v>
      </c>
      <c r="D433" s="8" t="s">
        <v>2788</v>
      </c>
      <c r="E433" s="8" t="s">
        <v>2789</v>
      </c>
      <c r="F433" s="8" t="s">
        <v>2790</v>
      </c>
      <c r="G433" s="6" t="s">
        <v>37</v>
      </c>
      <c r="H433" s="6" t="s">
        <v>38</v>
      </c>
      <c r="I433" s="8" t="s">
        <v>73</v>
      </c>
      <c r="J433" s="9">
        <v>1</v>
      </c>
      <c r="K433" s="9">
        <v>237</v>
      </c>
      <c r="L433" s="9">
        <v>2024</v>
      </c>
      <c r="M433" s="8" t="s">
        <v>2791</v>
      </c>
      <c r="N433" s="8" t="s">
        <v>41</v>
      </c>
      <c r="O433" s="8" t="s">
        <v>42</v>
      </c>
      <c r="P433" s="6" t="s">
        <v>43</v>
      </c>
      <c r="Q433" s="8" t="s">
        <v>75</v>
      </c>
      <c r="R433" s="10" t="s">
        <v>2792</v>
      </c>
      <c r="S433" s="11" t="s">
        <v>2793</v>
      </c>
      <c r="T433" s="6"/>
      <c r="U433" s="27" t="str">
        <f>HYPERLINK("https://media.infra-m.ru/2091/2091900/cover/2091900.jpg", "Обложка")</f>
        <v>Обложка</v>
      </c>
      <c r="V433" s="27" t="str">
        <f>HYPERLINK("https://znanium.com/catalog/product/1480608", "Ознакомиться")</f>
        <v>Ознакомиться</v>
      </c>
      <c r="W433" s="8" t="s">
        <v>2794</v>
      </c>
      <c r="X433" s="6"/>
      <c r="Y433" s="6"/>
      <c r="Z433" s="6"/>
      <c r="AA433" s="6" t="s">
        <v>559</v>
      </c>
    </row>
    <row r="434" spans="1:27" s="4" customFormat="1" ht="51.95" customHeight="1">
      <c r="A434" s="5">
        <v>0</v>
      </c>
      <c r="B434" s="6" t="s">
        <v>2795</v>
      </c>
      <c r="C434" s="7">
        <v>724.9</v>
      </c>
      <c r="D434" s="8" t="s">
        <v>2796</v>
      </c>
      <c r="E434" s="8" t="s">
        <v>2797</v>
      </c>
      <c r="F434" s="8" t="s">
        <v>2798</v>
      </c>
      <c r="G434" s="6" t="s">
        <v>119</v>
      </c>
      <c r="H434" s="6" t="s">
        <v>161</v>
      </c>
      <c r="I434" s="8" t="s">
        <v>73</v>
      </c>
      <c r="J434" s="9">
        <v>1</v>
      </c>
      <c r="K434" s="9">
        <v>200</v>
      </c>
      <c r="L434" s="9">
        <v>2020</v>
      </c>
      <c r="M434" s="8" t="s">
        <v>2799</v>
      </c>
      <c r="N434" s="8" t="s">
        <v>41</v>
      </c>
      <c r="O434" s="8" t="s">
        <v>42</v>
      </c>
      <c r="P434" s="6" t="s">
        <v>43</v>
      </c>
      <c r="Q434" s="8" t="s">
        <v>75</v>
      </c>
      <c r="R434" s="10" t="s">
        <v>2792</v>
      </c>
      <c r="S434" s="11" t="s">
        <v>2800</v>
      </c>
      <c r="T434" s="6"/>
      <c r="U434" s="27" t="str">
        <f>HYPERLINK("https://media.infra-m.ru/1208/1208859/cover/1208859.jpg", "Обложка")</f>
        <v>Обложка</v>
      </c>
      <c r="V434" s="27" t="str">
        <f>HYPERLINK("https://znanium.com/catalog/product/1480608", "Ознакомиться")</f>
        <v>Ознакомиться</v>
      </c>
      <c r="W434" s="8" t="s">
        <v>2794</v>
      </c>
      <c r="X434" s="6"/>
      <c r="Y434" s="6"/>
      <c r="Z434" s="6"/>
      <c r="AA434" s="6" t="s">
        <v>106</v>
      </c>
    </row>
    <row r="435" spans="1:27" s="4" customFormat="1" ht="51.95" customHeight="1">
      <c r="A435" s="5">
        <v>0</v>
      </c>
      <c r="B435" s="6" t="s">
        <v>2801</v>
      </c>
      <c r="C435" s="7">
        <v>504.9</v>
      </c>
      <c r="D435" s="8" t="s">
        <v>2802</v>
      </c>
      <c r="E435" s="8" t="s">
        <v>2803</v>
      </c>
      <c r="F435" s="8" t="s">
        <v>2804</v>
      </c>
      <c r="G435" s="6" t="s">
        <v>119</v>
      </c>
      <c r="H435" s="6" t="s">
        <v>209</v>
      </c>
      <c r="I435" s="8" t="s">
        <v>120</v>
      </c>
      <c r="J435" s="9">
        <v>1</v>
      </c>
      <c r="K435" s="9">
        <v>163</v>
      </c>
      <c r="L435" s="9">
        <v>2017</v>
      </c>
      <c r="M435" s="8" t="s">
        <v>2805</v>
      </c>
      <c r="N435" s="8" t="s">
        <v>41</v>
      </c>
      <c r="O435" s="8" t="s">
        <v>42</v>
      </c>
      <c r="P435" s="6" t="s">
        <v>122</v>
      </c>
      <c r="Q435" s="8" t="s">
        <v>123</v>
      </c>
      <c r="R435" s="10" t="s">
        <v>2806</v>
      </c>
      <c r="S435" s="11"/>
      <c r="T435" s="6"/>
      <c r="U435" s="27" t="str">
        <f>HYPERLINK("https://media.infra-m.ru/0615/0615209/cover/615209.jpg", "Обложка")</f>
        <v>Обложка</v>
      </c>
      <c r="V435" s="27" t="str">
        <f>HYPERLINK("https://znanium.com/catalog/product/342918", "Ознакомиться")</f>
        <v>Ознакомиться</v>
      </c>
      <c r="W435" s="8"/>
      <c r="X435" s="6"/>
      <c r="Y435" s="6"/>
      <c r="Z435" s="6"/>
      <c r="AA435" s="6" t="s">
        <v>47</v>
      </c>
    </row>
    <row r="436" spans="1:27" s="4" customFormat="1" ht="51.95" customHeight="1">
      <c r="A436" s="5">
        <v>0</v>
      </c>
      <c r="B436" s="6" t="s">
        <v>2807</v>
      </c>
      <c r="C436" s="7">
        <v>474.9</v>
      </c>
      <c r="D436" s="8" t="s">
        <v>2808</v>
      </c>
      <c r="E436" s="8" t="s">
        <v>2809</v>
      </c>
      <c r="F436" s="8" t="s">
        <v>766</v>
      </c>
      <c r="G436" s="6" t="s">
        <v>119</v>
      </c>
      <c r="H436" s="6" t="s">
        <v>131</v>
      </c>
      <c r="I436" s="8" t="s">
        <v>132</v>
      </c>
      <c r="J436" s="9">
        <v>1</v>
      </c>
      <c r="K436" s="9">
        <v>104</v>
      </c>
      <c r="L436" s="9">
        <v>2023</v>
      </c>
      <c r="M436" s="8" t="s">
        <v>2810</v>
      </c>
      <c r="N436" s="8" t="s">
        <v>41</v>
      </c>
      <c r="O436" s="8" t="s">
        <v>42</v>
      </c>
      <c r="P436" s="6" t="s">
        <v>43</v>
      </c>
      <c r="Q436" s="8" t="s">
        <v>75</v>
      </c>
      <c r="R436" s="10" t="s">
        <v>2811</v>
      </c>
      <c r="S436" s="11" t="s">
        <v>1388</v>
      </c>
      <c r="T436" s="6"/>
      <c r="U436" s="27" t="str">
        <f>HYPERLINK("https://media.infra-m.ru/2019/2019762/cover/2019762.jpg", "Обложка")</f>
        <v>Обложка</v>
      </c>
      <c r="V436" s="27" t="str">
        <f>HYPERLINK("https://znanium.com/catalog/product/1946546", "Ознакомиться")</f>
        <v>Ознакомиться</v>
      </c>
      <c r="W436" s="8" t="s">
        <v>125</v>
      </c>
      <c r="X436" s="6"/>
      <c r="Y436" s="6"/>
      <c r="Z436" s="6"/>
      <c r="AA436" s="6" t="s">
        <v>114</v>
      </c>
    </row>
    <row r="437" spans="1:27" s="4" customFormat="1" ht="51.95" customHeight="1">
      <c r="A437" s="5">
        <v>0</v>
      </c>
      <c r="B437" s="6" t="s">
        <v>2812</v>
      </c>
      <c r="C437" s="13">
        <v>1590</v>
      </c>
      <c r="D437" s="8" t="s">
        <v>2813</v>
      </c>
      <c r="E437" s="8" t="s">
        <v>2814</v>
      </c>
      <c r="F437" s="8" t="s">
        <v>2815</v>
      </c>
      <c r="G437" s="6" t="s">
        <v>119</v>
      </c>
      <c r="H437" s="6" t="s">
        <v>1120</v>
      </c>
      <c r="I437" s="8" t="s">
        <v>2619</v>
      </c>
      <c r="J437" s="9">
        <v>1</v>
      </c>
      <c r="K437" s="9">
        <v>345</v>
      </c>
      <c r="L437" s="9">
        <v>2024</v>
      </c>
      <c r="M437" s="8" t="s">
        <v>2816</v>
      </c>
      <c r="N437" s="8" t="s">
        <v>41</v>
      </c>
      <c r="O437" s="8" t="s">
        <v>42</v>
      </c>
      <c r="P437" s="6" t="s">
        <v>122</v>
      </c>
      <c r="Q437" s="8" t="s">
        <v>123</v>
      </c>
      <c r="R437" s="10" t="s">
        <v>2817</v>
      </c>
      <c r="S437" s="11"/>
      <c r="T437" s="6"/>
      <c r="U437" s="27" t="str">
        <f>HYPERLINK("https://media.infra-m.ru/2117/2117126/cover/2117126.jpg", "Обложка")</f>
        <v>Обложка</v>
      </c>
      <c r="V437" s="27" t="str">
        <f>HYPERLINK("https://znanium.com/catalog/product/2117126", "Ознакомиться")</f>
        <v>Ознакомиться</v>
      </c>
      <c r="W437" s="8" t="s">
        <v>2818</v>
      </c>
      <c r="X437" s="6"/>
      <c r="Y437" s="6"/>
      <c r="Z437" s="6"/>
      <c r="AA437" s="6" t="s">
        <v>114</v>
      </c>
    </row>
    <row r="438" spans="1:27" s="4" customFormat="1" ht="51.95" customHeight="1">
      <c r="A438" s="5">
        <v>0</v>
      </c>
      <c r="B438" s="6" t="s">
        <v>2819</v>
      </c>
      <c r="C438" s="13">
        <v>1394</v>
      </c>
      <c r="D438" s="8" t="s">
        <v>2820</v>
      </c>
      <c r="E438" s="8" t="s">
        <v>2821</v>
      </c>
      <c r="F438" s="8" t="s">
        <v>2822</v>
      </c>
      <c r="G438" s="6" t="s">
        <v>92</v>
      </c>
      <c r="H438" s="6" t="s">
        <v>131</v>
      </c>
      <c r="I438" s="8" t="s">
        <v>132</v>
      </c>
      <c r="J438" s="9">
        <v>1</v>
      </c>
      <c r="K438" s="9">
        <v>304</v>
      </c>
      <c r="L438" s="9">
        <v>2024</v>
      </c>
      <c r="M438" s="8" t="s">
        <v>2823</v>
      </c>
      <c r="N438" s="8" t="s">
        <v>41</v>
      </c>
      <c r="O438" s="8" t="s">
        <v>42</v>
      </c>
      <c r="P438" s="6" t="s">
        <v>43</v>
      </c>
      <c r="Q438" s="8" t="s">
        <v>75</v>
      </c>
      <c r="R438" s="10" t="s">
        <v>760</v>
      </c>
      <c r="S438" s="11" t="s">
        <v>2824</v>
      </c>
      <c r="T438" s="6"/>
      <c r="U438" s="27" t="str">
        <f>HYPERLINK("https://media.infra-m.ru/2063/2063446/cover/2063446.jpg", "Обложка")</f>
        <v>Обложка</v>
      </c>
      <c r="V438" s="27" t="str">
        <f>HYPERLINK("https://znanium.com/catalog/product/1840472", "Ознакомиться")</f>
        <v>Ознакомиться</v>
      </c>
      <c r="W438" s="8" t="s">
        <v>314</v>
      </c>
      <c r="X438" s="6"/>
      <c r="Y438" s="6"/>
      <c r="Z438" s="6"/>
      <c r="AA438" s="6" t="s">
        <v>451</v>
      </c>
    </row>
    <row r="439" spans="1:27" s="4" customFormat="1" ht="51.95" customHeight="1">
      <c r="A439" s="5">
        <v>0</v>
      </c>
      <c r="B439" s="6" t="s">
        <v>2825</v>
      </c>
      <c r="C439" s="13">
        <v>1624</v>
      </c>
      <c r="D439" s="8" t="s">
        <v>2826</v>
      </c>
      <c r="E439" s="8" t="s">
        <v>2827</v>
      </c>
      <c r="F439" s="8" t="s">
        <v>2828</v>
      </c>
      <c r="G439" s="6" t="s">
        <v>92</v>
      </c>
      <c r="H439" s="6" t="s">
        <v>38</v>
      </c>
      <c r="I439" s="8" t="s">
        <v>73</v>
      </c>
      <c r="J439" s="9">
        <v>1</v>
      </c>
      <c r="K439" s="9">
        <v>360</v>
      </c>
      <c r="L439" s="9">
        <v>2023</v>
      </c>
      <c r="M439" s="8" t="s">
        <v>2829</v>
      </c>
      <c r="N439" s="8" t="s">
        <v>41</v>
      </c>
      <c r="O439" s="8" t="s">
        <v>42</v>
      </c>
      <c r="P439" s="6" t="s">
        <v>2830</v>
      </c>
      <c r="Q439" s="8" t="s">
        <v>75</v>
      </c>
      <c r="R439" s="10" t="s">
        <v>2831</v>
      </c>
      <c r="S439" s="11" t="s">
        <v>2832</v>
      </c>
      <c r="T439" s="6"/>
      <c r="U439" s="27" t="str">
        <f>HYPERLINK("https://media.infra-m.ru/2006/2006843/cover/2006843.jpg", "Обложка")</f>
        <v>Обложка</v>
      </c>
      <c r="V439" s="27" t="str">
        <f>HYPERLINK("https://znanium.com/catalog/product/958467", "Ознакомиться")</f>
        <v>Ознакомиться</v>
      </c>
      <c r="W439" s="8" t="s">
        <v>2833</v>
      </c>
      <c r="X439" s="6"/>
      <c r="Y439" s="6"/>
      <c r="Z439" s="6"/>
      <c r="AA439" s="6" t="s">
        <v>126</v>
      </c>
    </row>
    <row r="440" spans="1:27" s="4" customFormat="1" ht="51.95" customHeight="1">
      <c r="A440" s="5">
        <v>0</v>
      </c>
      <c r="B440" s="6" t="s">
        <v>2834</v>
      </c>
      <c r="C440" s="13">
        <v>1434.9</v>
      </c>
      <c r="D440" s="8" t="s">
        <v>2835</v>
      </c>
      <c r="E440" s="8" t="s">
        <v>2836</v>
      </c>
      <c r="F440" s="8" t="s">
        <v>2837</v>
      </c>
      <c r="G440" s="6" t="s">
        <v>92</v>
      </c>
      <c r="H440" s="6" t="s">
        <v>161</v>
      </c>
      <c r="I440" s="8" t="s">
        <v>73</v>
      </c>
      <c r="J440" s="9">
        <v>1</v>
      </c>
      <c r="K440" s="9">
        <v>320</v>
      </c>
      <c r="L440" s="9">
        <v>2022</v>
      </c>
      <c r="M440" s="8" t="s">
        <v>2838</v>
      </c>
      <c r="N440" s="8" t="s">
        <v>41</v>
      </c>
      <c r="O440" s="8" t="s">
        <v>502</v>
      </c>
      <c r="P440" s="6" t="s">
        <v>43</v>
      </c>
      <c r="Q440" s="8" t="s">
        <v>75</v>
      </c>
      <c r="R440" s="10" t="s">
        <v>2839</v>
      </c>
      <c r="S440" s="11" t="s">
        <v>2840</v>
      </c>
      <c r="T440" s="6"/>
      <c r="U440" s="27" t="str">
        <f>HYPERLINK("https://media.infra-m.ru/1844/1844363/cover/1844363.jpg", "Обложка")</f>
        <v>Обложка</v>
      </c>
      <c r="V440" s="27" t="str">
        <f>HYPERLINK("https://znanium.com/catalog/product/1149642", "Ознакомиться")</f>
        <v>Ознакомиться</v>
      </c>
      <c r="W440" s="8" t="s">
        <v>314</v>
      </c>
      <c r="X440" s="6"/>
      <c r="Y440" s="6"/>
      <c r="Z440" s="6"/>
      <c r="AA440" s="6" t="s">
        <v>114</v>
      </c>
    </row>
    <row r="441" spans="1:27" s="4" customFormat="1" ht="51.95" customHeight="1">
      <c r="A441" s="5">
        <v>0</v>
      </c>
      <c r="B441" s="6" t="s">
        <v>2841</v>
      </c>
      <c r="C441" s="13">
        <v>1024</v>
      </c>
      <c r="D441" s="8" t="s">
        <v>2842</v>
      </c>
      <c r="E441" s="8" t="s">
        <v>2843</v>
      </c>
      <c r="F441" s="8" t="s">
        <v>2844</v>
      </c>
      <c r="G441" s="6" t="s">
        <v>92</v>
      </c>
      <c r="H441" s="6" t="s">
        <v>38</v>
      </c>
      <c r="I441" s="8" t="s">
        <v>73</v>
      </c>
      <c r="J441" s="9">
        <v>1</v>
      </c>
      <c r="K441" s="9">
        <v>222</v>
      </c>
      <c r="L441" s="9">
        <v>2024</v>
      </c>
      <c r="M441" s="8" t="s">
        <v>2845</v>
      </c>
      <c r="N441" s="8" t="s">
        <v>41</v>
      </c>
      <c r="O441" s="8" t="s">
        <v>42</v>
      </c>
      <c r="P441" s="6" t="s">
        <v>43</v>
      </c>
      <c r="Q441" s="8" t="s">
        <v>75</v>
      </c>
      <c r="R441" s="10" t="s">
        <v>1653</v>
      </c>
      <c r="S441" s="11"/>
      <c r="T441" s="6"/>
      <c r="U441" s="27" t="str">
        <f>HYPERLINK("https://media.infra-m.ru/2091/2091929/cover/2091929.jpg", "Обложка")</f>
        <v>Обложка</v>
      </c>
      <c r="V441" s="27" t="str">
        <f>HYPERLINK("https://znanium.com/catalog/product/1036414", "Ознакомиться")</f>
        <v>Ознакомиться</v>
      </c>
      <c r="W441" s="8" t="s">
        <v>496</v>
      </c>
      <c r="X441" s="6"/>
      <c r="Y441" s="6"/>
      <c r="Z441" s="6"/>
      <c r="AA441" s="6" t="s">
        <v>933</v>
      </c>
    </row>
    <row r="442" spans="1:27" s="4" customFormat="1" ht="42" customHeight="1">
      <c r="A442" s="5">
        <v>0</v>
      </c>
      <c r="B442" s="6" t="s">
        <v>2846</v>
      </c>
      <c r="C442" s="7">
        <v>600</v>
      </c>
      <c r="D442" s="8" t="s">
        <v>2847</v>
      </c>
      <c r="E442" s="8" t="s">
        <v>2848</v>
      </c>
      <c r="F442" s="8" t="s">
        <v>2849</v>
      </c>
      <c r="G442" s="6" t="s">
        <v>92</v>
      </c>
      <c r="H442" s="6" t="s">
        <v>209</v>
      </c>
      <c r="I442" s="8"/>
      <c r="J442" s="9">
        <v>1</v>
      </c>
      <c r="K442" s="9">
        <v>190</v>
      </c>
      <c r="L442" s="9">
        <v>2019</v>
      </c>
      <c r="M442" s="8" t="s">
        <v>2850</v>
      </c>
      <c r="N442" s="8" t="s">
        <v>41</v>
      </c>
      <c r="O442" s="8" t="s">
        <v>502</v>
      </c>
      <c r="P442" s="6" t="s">
        <v>55</v>
      </c>
      <c r="Q442" s="8" t="s">
        <v>75</v>
      </c>
      <c r="R442" s="10" t="s">
        <v>557</v>
      </c>
      <c r="S442" s="11"/>
      <c r="T442" s="6"/>
      <c r="U442" s="27" t="str">
        <f>HYPERLINK("https://media.infra-m.ru/0995/0995619/cover/995619.jpg", "Обложка")</f>
        <v>Обложка</v>
      </c>
      <c r="V442" s="27" t="str">
        <f>HYPERLINK("https://znanium.com/catalog/product/995619", "Ознакомиться")</f>
        <v>Ознакомиться</v>
      </c>
      <c r="W442" s="8" t="s">
        <v>1759</v>
      </c>
      <c r="X442" s="6"/>
      <c r="Y442" s="6"/>
      <c r="Z442" s="6"/>
      <c r="AA442" s="6" t="s">
        <v>61</v>
      </c>
    </row>
    <row r="443" spans="1:27" s="4" customFormat="1" ht="51.95" customHeight="1">
      <c r="A443" s="5">
        <v>0</v>
      </c>
      <c r="B443" s="6" t="s">
        <v>2851</v>
      </c>
      <c r="C443" s="13">
        <v>1070</v>
      </c>
      <c r="D443" s="8" t="s">
        <v>2852</v>
      </c>
      <c r="E443" s="8" t="s">
        <v>2853</v>
      </c>
      <c r="F443" s="8" t="s">
        <v>2854</v>
      </c>
      <c r="G443" s="6" t="s">
        <v>37</v>
      </c>
      <c r="H443" s="6" t="s">
        <v>93</v>
      </c>
      <c r="I443" s="8"/>
      <c r="J443" s="9">
        <v>1</v>
      </c>
      <c r="K443" s="9">
        <v>232</v>
      </c>
      <c r="L443" s="9">
        <v>2024</v>
      </c>
      <c r="M443" s="8" t="s">
        <v>2855</v>
      </c>
      <c r="N443" s="8" t="s">
        <v>41</v>
      </c>
      <c r="O443" s="8" t="s">
        <v>42</v>
      </c>
      <c r="P443" s="6" t="s">
        <v>43</v>
      </c>
      <c r="Q443" s="8" t="s">
        <v>75</v>
      </c>
      <c r="R443" s="10" t="s">
        <v>836</v>
      </c>
      <c r="S443" s="11"/>
      <c r="T443" s="6"/>
      <c r="U443" s="27" t="str">
        <f>HYPERLINK("https://media.infra-m.ru/2117/2117565/cover/2117565.jpg", "Обложка")</f>
        <v>Обложка</v>
      </c>
      <c r="V443" s="27" t="str">
        <f>HYPERLINK("https://znanium.com/catalog/product/2117565", "Ознакомиться")</f>
        <v>Ознакомиться</v>
      </c>
      <c r="W443" s="8" t="s">
        <v>992</v>
      </c>
      <c r="X443" s="6"/>
      <c r="Y443" s="6"/>
      <c r="Z443" s="6"/>
      <c r="AA443" s="6" t="s">
        <v>299</v>
      </c>
    </row>
    <row r="444" spans="1:27" s="4" customFormat="1" ht="42" customHeight="1">
      <c r="A444" s="5">
        <v>0</v>
      </c>
      <c r="B444" s="6" t="s">
        <v>2856</v>
      </c>
      <c r="C444" s="13">
        <v>1334.9</v>
      </c>
      <c r="D444" s="8" t="s">
        <v>2857</v>
      </c>
      <c r="E444" s="8" t="s">
        <v>2858</v>
      </c>
      <c r="F444" s="8" t="s">
        <v>2859</v>
      </c>
      <c r="G444" s="6" t="s">
        <v>92</v>
      </c>
      <c r="H444" s="6" t="s">
        <v>131</v>
      </c>
      <c r="I444" s="8" t="s">
        <v>132</v>
      </c>
      <c r="J444" s="9">
        <v>1</v>
      </c>
      <c r="K444" s="9">
        <v>352</v>
      </c>
      <c r="L444" s="9">
        <v>2022</v>
      </c>
      <c r="M444" s="8" t="s">
        <v>2860</v>
      </c>
      <c r="N444" s="8" t="s">
        <v>41</v>
      </c>
      <c r="O444" s="8" t="s">
        <v>502</v>
      </c>
      <c r="P444" s="6" t="s">
        <v>55</v>
      </c>
      <c r="Q444" s="8" t="s">
        <v>75</v>
      </c>
      <c r="R444" s="10" t="s">
        <v>2861</v>
      </c>
      <c r="S444" s="11"/>
      <c r="T444" s="6"/>
      <c r="U444" s="27" t="str">
        <f>HYPERLINK("https://media.infra-m.ru/1842/1842538/cover/1842538.jpg", "Обложка")</f>
        <v>Обложка</v>
      </c>
      <c r="V444" s="27" t="str">
        <f>HYPERLINK("https://znanium.com/catalog/product/933916", "Ознакомиться")</f>
        <v>Ознакомиться</v>
      </c>
      <c r="W444" s="8" t="s">
        <v>125</v>
      </c>
      <c r="X444" s="6"/>
      <c r="Y444" s="6"/>
      <c r="Z444" s="6"/>
      <c r="AA444" s="6" t="s">
        <v>150</v>
      </c>
    </row>
    <row r="445" spans="1:27" s="4" customFormat="1" ht="51.95" customHeight="1">
      <c r="A445" s="5">
        <v>0</v>
      </c>
      <c r="B445" s="6" t="s">
        <v>2862</v>
      </c>
      <c r="C445" s="13">
        <v>1434.9</v>
      </c>
      <c r="D445" s="8" t="s">
        <v>2863</v>
      </c>
      <c r="E445" s="8" t="s">
        <v>2864</v>
      </c>
      <c r="F445" s="8" t="s">
        <v>2865</v>
      </c>
      <c r="G445" s="6" t="s">
        <v>92</v>
      </c>
      <c r="H445" s="6" t="s">
        <v>38</v>
      </c>
      <c r="I445" s="8" t="s">
        <v>73</v>
      </c>
      <c r="J445" s="9">
        <v>1</v>
      </c>
      <c r="K445" s="9">
        <v>318</v>
      </c>
      <c r="L445" s="9">
        <v>2023</v>
      </c>
      <c r="M445" s="8" t="s">
        <v>2866</v>
      </c>
      <c r="N445" s="8" t="s">
        <v>41</v>
      </c>
      <c r="O445" s="8" t="s">
        <v>502</v>
      </c>
      <c r="P445" s="6" t="s">
        <v>55</v>
      </c>
      <c r="Q445" s="8" t="s">
        <v>75</v>
      </c>
      <c r="R445" s="10" t="s">
        <v>2867</v>
      </c>
      <c r="S445" s="11" t="s">
        <v>1288</v>
      </c>
      <c r="T445" s="6"/>
      <c r="U445" s="27" t="str">
        <f>HYPERLINK("https://media.infra-m.ru/1981/1981719/cover/1981719.jpg", "Обложка")</f>
        <v>Обложка</v>
      </c>
      <c r="V445" s="27" t="str">
        <f>HYPERLINK("https://znanium.com/catalog/product/960014", "Ознакомиться")</f>
        <v>Ознакомиться</v>
      </c>
      <c r="W445" s="8" t="s">
        <v>362</v>
      </c>
      <c r="X445" s="6"/>
      <c r="Y445" s="6"/>
      <c r="Z445" s="6"/>
      <c r="AA445" s="6" t="s">
        <v>114</v>
      </c>
    </row>
    <row r="446" spans="1:27" s="4" customFormat="1" ht="51.95" customHeight="1">
      <c r="A446" s="5">
        <v>0</v>
      </c>
      <c r="B446" s="6" t="s">
        <v>2868</v>
      </c>
      <c r="C446" s="13">
        <v>1140</v>
      </c>
      <c r="D446" s="8" t="s">
        <v>2869</v>
      </c>
      <c r="E446" s="8" t="s">
        <v>2864</v>
      </c>
      <c r="F446" s="8" t="s">
        <v>2870</v>
      </c>
      <c r="G446" s="6" t="s">
        <v>37</v>
      </c>
      <c r="H446" s="6" t="s">
        <v>38</v>
      </c>
      <c r="I446" s="8" t="s">
        <v>53</v>
      </c>
      <c r="J446" s="9">
        <v>1</v>
      </c>
      <c r="K446" s="9">
        <v>318</v>
      </c>
      <c r="L446" s="9">
        <v>2021</v>
      </c>
      <c r="M446" s="8" t="s">
        <v>2871</v>
      </c>
      <c r="N446" s="8" t="s">
        <v>41</v>
      </c>
      <c r="O446" s="8" t="s">
        <v>502</v>
      </c>
      <c r="P446" s="6" t="s">
        <v>55</v>
      </c>
      <c r="Q446" s="8" t="s">
        <v>56</v>
      </c>
      <c r="R446" s="10" t="s">
        <v>163</v>
      </c>
      <c r="S446" s="11" t="s">
        <v>628</v>
      </c>
      <c r="T446" s="6"/>
      <c r="U446" s="27" t="str">
        <f>HYPERLINK("https://media.infra-m.ru/1240/1240097/cover/1240097.jpg", "Обложка")</f>
        <v>Обложка</v>
      </c>
      <c r="V446" s="27" t="str">
        <f>HYPERLINK("https://znanium.com/catalog/product/1240097", "Ознакомиться")</f>
        <v>Ознакомиться</v>
      </c>
      <c r="W446" s="8" t="s">
        <v>362</v>
      </c>
      <c r="X446" s="6"/>
      <c r="Y446" s="6"/>
      <c r="Z446" s="6" t="s">
        <v>60</v>
      </c>
      <c r="AA446" s="6" t="s">
        <v>126</v>
      </c>
    </row>
    <row r="447" spans="1:27" s="4" customFormat="1" ht="51.95" customHeight="1">
      <c r="A447" s="5">
        <v>0</v>
      </c>
      <c r="B447" s="6" t="s">
        <v>2872</v>
      </c>
      <c r="C447" s="13">
        <v>1314.9</v>
      </c>
      <c r="D447" s="8" t="s">
        <v>2873</v>
      </c>
      <c r="E447" s="8" t="s">
        <v>2874</v>
      </c>
      <c r="F447" s="8" t="s">
        <v>2875</v>
      </c>
      <c r="G447" s="6" t="s">
        <v>92</v>
      </c>
      <c r="H447" s="6" t="s">
        <v>38</v>
      </c>
      <c r="I447" s="8" t="s">
        <v>73</v>
      </c>
      <c r="J447" s="9">
        <v>1</v>
      </c>
      <c r="K447" s="9">
        <v>346</v>
      </c>
      <c r="L447" s="9">
        <v>2022</v>
      </c>
      <c r="M447" s="8" t="s">
        <v>2876</v>
      </c>
      <c r="N447" s="8" t="s">
        <v>41</v>
      </c>
      <c r="O447" s="8" t="s">
        <v>502</v>
      </c>
      <c r="P447" s="6" t="s">
        <v>55</v>
      </c>
      <c r="Q447" s="8" t="s">
        <v>75</v>
      </c>
      <c r="R447" s="10" t="s">
        <v>2877</v>
      </c>
      <c r="S447" s="11" t="s">
        <v>2878</v>
      </c>
      <c r="T447" s="6"/>
      <c r="U447" s="27" t="str">
        <f>HYPERLINK("https://media.infra-m.ru/1843/1843570/cover/1843570.jpg", "Обложка")</f>
        <v>Обложка</v>
      </c>
      <c r="V447" s="27" t="str">
        <f>HYPERLINK("https://znanium.com/catalog/product/1010104", "Ознакомиться")</f>
        <v>Ознакомиться</v>
      </c>
      <c r="W447" s="8" t="s">
        <v>1024</v>
      </c>
      <c r="X447" s="6"/>
      <c r="Y447" s="6"/>
      <c r="Z447" s="6"/>
      <c r="AA447" s="6" t="s">
        <v>114</v>
      </c>
    </row>
    <row r="448" spans="1:27" s="4" customFormat="1" ht="51.95" customHeight="1">
      <c r="A448" s="5">
        <v>0</v>
      </c>
      <c r="B448" s="6" t="s">
        <v>2879</v>
      </c>
      <c r="C448" s="13">
        <v>1980</v>
      </c>
      <c r="D448" s="8" t="s">
        <v>2880</v>
      </c>
      <c r="E448" s="8" t="s">
        <v>2881</v>
      </c>
      <c r="F448" s="8" t="s">
        <v>2882</v>
      </c>
      <c r="G448" s="6" t="s">
        <v>37</v>
      </c>
      <c r="H448" s="6" t="s">
        <v>38</v>
      </c>
      <c r="I448" s="8" t="s">
        <v>73</v>
      </c>
      <c r="J448" s="9">
        <v>1</v>
      </c>
      <c r="K448" s="9">
        <v>439</v>
      </c>
      <c r="L448" s="9">
        <v>2023</v>
      </c>
      <c r="M448" s="8" t="s">
        <v>2883</v>
      </c>
      <c r="N448" s="8" t="s">
        <v>41</v>
      </c>
      <c r="O448" s="8" t="s">
        <v>502</v>
      </c>
      <c r="P448" s="6" t="s">
        <v>55</v>
      </c>
      <c r="Q448" s="8" t="s">
        <v>75</v>
      </c>
      <c r="R448" s="10" t="s">
        <v>2884</v>
      </c>
      <c r="S448" s="11" t="s">
        <v>2885</v>
      </c>
      <c r="T448" s="6" t="s">
        <v>59</v>
      </c>
      <c r="U448" s="27" t="str">
        <f>HYPERLINK("https://media.infra-m.ru/1981/1981647/cover/1981647.jpg", "Обложка")</f>
        <v>Обложка</v>
      </c>
      <c r="V448" s="27" t="str">
        <f>HYPERLINK("https://znanium.com/catalog/product/1981647", "Ознакомиться")</f>
        <v>Ознакомиться</v>
      </c>
      <c r="W448" s="8" t="s">
        <v>2886</v>
      </c>
      <c r="X448" s="6"/>
      <c r="Y448" s="6"/>
      <c r="Z448" s="6"/>
      <c r="AA448" s="6" t="s">
        <v>382</v>
      </c>
    </row>
    <row r="449" spans="1:27" s="4" customFormat="1" ht="51.95" customHeight="1">
      <c r="A449" s="5">
        <v>0</v>
      </c>
      <c r="B449" s="6" t="s">
        <v>2887</v>
      </c>
      <c r="C449" s="7">
        <v>680</v>
      </c>
      <c r="D449" s="8" t="s">
        <v>2888</v>
      </c>
      <c r="E449" s="8" t="s">
        <v>2889</v>
      </c>
      <c r="F449" s="8" t="s">
        <v>2890</v>
      </c>
      <c r="G449" s="6" t="s">
        <v>92</v>
      </c>
      <c r="H449" s="6" t="s">
        <v>38</v>
      </c>
      <c r="I449" s="8" t="s">
        <v>53</v>
      </c>
      <c r="J449" s="9">
        <v>1</v>
      </c>
      <c r="K449" s="9">
        <v>182</v>
      </c>
      <c r="L449" s="9">
        <v>2021</v>
      </c>
      <c r="M449" s="8" t="s">
        <v>2891</v>
      </c>
      <c r="N449" s="8" t="s">
        <v>41</v>
      </c>
      <c r="O449" s="8" t="s">
        <v>42</v>
      </c>
      <c r="P449" s="6" t="s">
        <v>55</v>
      </c>
      <c r="Q449" s="8" t="s">
        <v>56</v>
      </c>
      <c r="R449" s="10" t="s">
        <v>2892</v>
      </c>
      <c r="S449" s="11" t="s">
        <v>2893</v>
      </c>
      <c r="T449" s="6"/>
      <c r="U449" s="27" t="str">
        <f>HYPERLINK("https://media.infra-m.ru/1343/1343176/cover/1343176.jpg", "Обложка")</f>
        <v>Обложка</v>
      </c>
      <c r="V449" s="27" t="str">
        <f>HYPERLINK("https://znanium.com/catalog/product/1343176", "Ознакомиться")</f>
        <v>Ознакомиться</v>
      </c>
      <c r="W449" s="8" t="s">
        <v>125</v>
      </c>
      <c r="X449" s="6"/>
      <c r="Y449" s="6"/>
      <c r="Z449" s="6" t="s">
        <v>945</v>
      </c>
      <c r="AA449" s="6" t="s">
        <v>299</v>
      </c>
    </row>
    <row r="450" spans="1:27" s="4" customFormat="1" ht="51.95" customHeight="1">
      <c r="A450" s="5">
        <v>0</v>
      </c>
      <c r="B450" s="6" t="s">
        <v>2894</v>
      </c>
      <c r="C450" s="7">
        <v>840</v>
      </c>
      <c r="D450" s="8" t="s">
        <v>2895</v>
      </c>
      <c r="E450" s="8" t="s">
        <v>2889</v>
      </c>
      <c r="F450" s="8" t="s">
        <v>2890</v>
      </c>
      <c r="G450" s="6" t="s">
        <v>37</v>
      </c>
      <c r="H450" s="6" t="s">
        <v>38</v>
      </c>
      <c r="I450" s="8" t="s">
        <v>2896</v>
      </c>
      <c r="J450" s="9">
        <v>1</v>
      </c>
      <c r="K450" s="9">
        <v>182</v>
      </c>
      <c r="L450" s="9">
        <v>2024</v>
      </c>
      <c r="M450" s="8" t="s">
        <v>2897</v>
      </c>
      <c r="N450" s="8" t="s">
        <v>41</v>
      </c>
      <c r="O450" s="8" t="s">
        <v>42</v>
      </c>
      <c r="P450" s="6" t="s">
        <v>55</v>
      </c>
      <c r="Q450" s="8" t="s">
        <v>286</v>
      </c>
      <c r="R450" s="10" t="s">
        <v>2898</v>
      </c>
      <c r="S450" s="11" t="s">
        <v>2899</v>
      </c>
      <c r="T450" s="6"/>
      <c r="U450" s="27" t="str">
        <f>HYPERLINK("https://media.infra-m.ru/2084/2084480/cover/2084480.jpg", "Обложка")</f>
        <v>Обложка</v>
      </c>
      <c r="V450" s="27" t="str">
        <f>HYPERLINK("https://znanium.com/catalog/product/2084480", "Ознакомиться")</f>
        <v>Ознакомиться</v>
      </c>
      <c r="W450" s="8" t="s">
        <v>125</v>
      </c>
      <c r="X450" s="6"/>
      <c r="Y450" s="6"/>
      <c r="Z450" s="6"/>
      <c r="AA450" s="6" t="s">
        <v>299</v>
      </c>
    </row>
    <row r="451" spans="1:27" s="4" customFormat="1" ht="51.95" customHeight="1">
      <c r="A451" s="5">
        <v>0</v>
      </c>
      <c r="B451" s="6" t="s">
        <v>2900</v>
      </c>
      <c r="C451" s="13">
        <v>1214</v>
      </c>
      <c r="D451" s="8" t="s">
        <v>2901</v>
      </c>
      <c r="E451" s="8" t="s">
        <v>2902</v>
      </c>
      <c r="F451" s="8" t="s">
        <v>2903</v>
      </c>
      <c r="G451" s="6" t="s">
        <v>37</v>
      </c>
      <c r="H451" s="6" t="s">
        <v>38</v>
      </c>
      <c r="I451" s="8" t="s">
        <v>73</v>
      </c>
      <c r="J451" s="9">
        <v>1</v>
      </c>
      <c r="K451" s="9">
        <v>264</v>
      </c>
      <c r="L451" s="9">
        <v>2024</v>
      </c>
      <c r="M451" s="8" t="s">
        <v>2904</v>
      </c>
      <c r="N451" s="8" t="s">
        <v>41</v>
      </c>
      <c r="O451" s="8" t="s">
        <v>502</v>
      </c>
      <c r="P451" s="6" t="s">
        <v>43</v>
      </c>
      <c r="Q451" s="8" t="s">
        <v>75</v>
      </c>
      <c r="R451" s="10" t="s">
        <v>360</v>
      </c>
      <c r="S451" s="11" t="s">
        <v>2905</v>
      </c>
      <c r="T451" s="6"/>
      <c r="U451" s="27" t="str">
        <f>HYPERLINK("https://media.infra-m.ru/2091/2091911/cover/2091911.jpg", "Обложка")</f>
        <v>Обложка</v>
      </c>
      <c r="V451" s="27" t="str">
        <f>HYPERLINK("https://znanium.com/catalog/product/1815956", "Ознакомиться")</f>
        <v>Ознакомиться</v>
      </c>
      <c r="W451" s="8" t="s">
        <v>610</v>
      </c>
      <c r="X451" s="6"/>
      <c r="Y451" s="6"/>
      <c r="Z451" s="6"/>
      <c r="AA451" s="6" t="s">
        <v>559</v>
      </c>
    </row>
    <row r="452" spans="1:27" s="4" customFormat="1" ht="51.95" customHeight="1">
      <c r="A452" s="5">
        <v>0</v>
      </c>
      <c r="B452" s="6" t="s">
        <v>2906</v>
      </c>
      <c r="C452" s="7">
        <v>960</v>
      </c>
      <c r="D452" s="8" t="s">
        <v>2907</v>
      </c>
      <c r="E452" s="8" t="s">
        <v>2908</v>
      </c>
      <c r="F452" s="8" t="s">
        <v>2903</v>
      </c>
      <c r="G452" s="6" t="s">
        <v>37</v>
      </c>
      <c r="H452" s="6" t="s">
        <v>38</v>
      </c>
      <c r="I452" s="8" t="s">
        <v>73</v>
      </c>
      <c r="J452" s="9">
        <v>1</v>
      </c>
      <c r="K452" s="9">
        <v>253</v>
      </c>
      <c r="L452" s="9">
        <v>2022</v>
      </c>
      <c r="M452" s="8" t="s">
        <v>2909</v>
      </c>
      <c r="N452" s="8" t="s">
        <v>41</v>
      </c>
      <c r="O452" s="8" t="s">
        <v>502</v>
      </c>
      <c r="P452" s="6" t="s">
        <v>43</v>
      </c>
      <c r="Q452" s="8" t="s">
        <v>75</v>
      </c>
      <c r="R452" s="10" t="s">
        <v>360</v>
      </c>
      <c r="S452" s="11" t="s">
        <v>2910</v>
      </c>
      <c r="T452" s="6"/>
      <c r="U452" s="27" t="str">
        <f>HYPERLINK("https://media.infra-m.ru/1815/1815956/cover/1815956.jpg", "Обложка")</f>
        <v>Обложка</v>
      </c>
      <c r="V452" s="27" t="str">
        <f>HYPERLINK("https://znanium.com/catalog/product/1815956", "Ознакомиться")</f>
        <v>Ознакомиться</v>
      </c>
      <c r="W452" s="8" t="s">
        <v>610</v>
      </c>
      <c r="X452" s="6"/>
      <c r="Y452" s="6"/>
      <c r="Z452" s="6"/>
      <c r="AA452" s="6" t="s">
        <v>114</v>
      </c>
    </row>
    <row r="453" spans="1:27" s="4" customFormat="1" ht="51.95" customHeight="1">
      <c r="A453" s="5">
        <v>0</v>
      </c>
      <c r="B453" s="6" t="s">
        <v>2911</v>
      </c>
      <c r="C453" s="7">
        <v>794</v>
      </c>
      <c r="D453" s="8" t="s">
        <v>2912</v>
      </c>
      <c r="E453" s="8" t="s">
        <v>2913</v>
      </c>
      <c r="F453" s="8" t="s">
        <v>2903</v>
      </c>
      <c r="G453" s="6" t="s">
        <v>92</v>
      </c>
      <c r="H453" s="6" t="s">
        <v>38</v>
      </c>
      <c r="I453" s="8" t="s">
        <v>73</v>
      </c>
      <c r="J453" s="9">
        <v>1</v>
      </c>
      <c r="K453" s="9">
        <v>176</v>
      </c>
      <c r="L453" s="9">
        <v>2023</v>
      </c>
      <c r="M453" s="8" t="s">
        <v>2914</v>
      </c>
      <c r="N453" s="8" t="s">
        <v>41</v>
      </c>
      <c r="O453" s="8" t="s">
        <v>502</v>
      </c>
      <c r="P453" s="6" t="s">
        <v>43</v>
      </c>
      <c r="Q453" s="8" t="s">
        <v>75</v>
      </c>
      <c r="R453" s="10" t="s">
        <v>2915</v>
      </c>
      <c r="S453" s="11"/>
      <c r="T453" s="6"/>
      <c r="U453" s="27" t="str">
        <f>HYPERLINK("https://media.infra-m.ru/2019/2019770/cover/2019770.jpg", "Обложка")</f>
        <v>Обложка</v>
      </c>
      <c r="V453" s="27" t="str">
        <f>HYPERLINK("https://znanium.com/catalog/product/1003233", "Ознакомиться")</f>
        <v>Ознакомиться</v>
      </c>
      <c r="W453" s="8" t="s">
        <v>610</v>
      </c>
      <c r="X453" s="6"/>
      <c r="Y453" s="6"/>
      <c r="Z453" s="6"/>
      <c r="AA453" s="6" t="s">
        <v>114</v>
      </c>
    </row>
    <row r="454" spans="1:27" s="4" customFormat="1" ht="51.95" customHeight="1">
      <c r="A454" s="5">
        <v>0</v>
      </c>
      <c r="B454" s="6" t="s">
        <v>2916</v>
      </c>
      <c r="C454" s="7">
        <v>914.9</v>
      </c>
      <c r="D454" s="8" t="s">
        <v>2917</v>
      </c>
      <c r="E454" s="8" t="s">
        <v>2918</v>
      </c>
      <c r="F454" s="8" t="s">
        <v>2919</v>
      </c>
      <c r="G454" s="6" t="s">
        <v>37</v>
      </c>
      <c r="H454" s="6" t="s">
        <v>52</v>
      </c>
      <c r="I454" s="8" t="s">
        <v>53</v>
      </c>
      <c r="J454" s="9">
        <v>1</v>
      </c>
      <c r="K454" s="9">
        <v>204</v>
      </c>
      <c r="L454" s="9">
        <v>2023</v>
      </c>
      <c r="M454" s="8" t="s">
        <v>2920</v>
      </c>
      <c r="N454" s="8" t="s">
        <v>41</v>
      </c>
      <c r="O454" s="8" t="s">
        <v>42</v>
      </c>
      <c r="P454" s="6" t="s">
        <v>43</v>
      </c>
      <c r="Q454" s="8" t="s">
        <v>56</v>
      </c>
      <c r="R454" s="10" t="s">
        <v>2921</v>
      </c>
      <c r="S454" s="11" t="s">
        <v>2922</v>
      </c>
      <c r="T454" s="6"/>
      <c r="U454" s="27" t="str">
        <f>HYPERLINK("https://media.infra-m.ru/1976/1976199/cover/1976199.jpg", "Обложка")</f>
        <v>Обложка</v>
      </c>
      <c r="V454" s="27" t="str">
        <f>HYPERLINK("https://znanium.com/catalog/product/1855812", "Ознакомиться")</f>
        <v>Ознакомиться</v>
      </c>
      <c r="W454" s="8"/>
      <c r="X454" s="6"/>
      <c r="Y454" s="6"/>
      <c r="Z454" s="6" t="s">
        <v>60</v>
      </c>
      <c r="AA454" s="6" t="s">
        <v>382</v>
      </c>
    </row>
    <row r="455" spans="1:27" s="4" customFormat="1" ht="51.95" customHeight="1">
      <c r="A455" s="5">
        <v>0</v>
      </c>
      <c r="B455" s="6" t="s">
        <v>2923</v>
      </c>
      <c r="C455" s="7">
        <v>934</v>
      </c>
      <c r="D455" s="8" t="s">
        <v>2924</v>
      </c>
      <c r="E455" s="8" t="s">
        <v>2918</v>
      </c>
      <c r="F455" s="8" t="s">
        <v>2925</v>
      </c>
      <c r="G455" s="6" t="s">
        <v>92</v>
      </c>
      <c r="H455" s="6" t="s">
        <v>52</v>
      </c>
      <c r="I455" s="8"/>
      <c r="J455" s="9">
        <v>1</v>
      </c>
      <c r="K455" s="9">
        <v>204</v>
      </c>
      <c r="L455" s="9">
        <v>2024</v>
      </c>
      <c r="M455" s="8" t="s">
        <v>2926</v>
      </c>
      <c r="N455" s="8" t="s">
        <v>41</v>
      </c>
      <c r="O455" s="8" t="s">
        <v>42</v>
      </c>
      <c r="P455" s="6" t="s">
        <v>43</v>
      </c>
      <c r="Q455" s="8" t="s">
        <v>75</v>
      </c>
      <c r="R455" s="10" t="s">
        <v>2927</v>
      </c>
      <c r="S455" s="11"/>
      <c r="T455" s="6"/>
      <c r="U455" s="27" t="str">
        <f>HYPERLINK("https://media.infra-m.ru/2079/2079683/cover/2079683.jpg", "Обложка")</f>
        <v>Обложка</v>
      </c>
      <c r="V455" s="27" t="str">
        <f>HYPERLINK("https://znanium.com/catalog/product/1830693", "Ознакомиться")</f>
        <v>Ознакомиться</v>
      </c>
      <c r="W455" s="8" t="s">
        <v>706</v>
      </c>
      <c r="X455" s="6"/>
      <c r="Y455" s="6"/>
      <c r="Z455" s="6"/>
      <c r="AA455" s="6" t="s">
        <v>150</v>
      </c>
    </row>
    <row r="456" spans="1:27" s="4" customFormat="1" ht="51.95" customHeight="1">
      <c r="A456" s="5">
        <v>0</v>
      </c>
      <c r="B456" s="6" t="s">
        <v>2928</v>
      </c>
      <c r="C456" s="13">
        <v>2130</v>
      </c>
      <c r="D456" s="8" t="s">
        <v>2929</v>
      </c>
      <c r="E456" s="8" t="s">
        <v>2930</v>
      </c>
      <c r="F456" s="8" t="s">
        <v>2931</v>
      </c>
      <c r="G456" s="6" t="s">
        <v>92</v>
      </c>
      <c r="H456" s="6" t="s">
        <v>38</v>
      </c>
      <c r="I456" s="8" t="s">
        <v>132</v>
      </c>
      <c r="J456" s="9">
        <v>1</v>
      </c>
      <c r="K456" s="9">
        <v>463</v>
      </c>
      <c r="L456" s="9">
        <v>2024</v>
      </c>
      <c r="M456" s="8" t="s">
        <v>2932</v>
      </c>
      <c r="N456" s="8" t="s">
        <v>41</v>
      </c>
      <c r="O456" s="8" t="s">
        <v>42</v>
      </c>
      <c r="P456" s="6" t="s">
        <v>55</v>
      </c>
      <c r="Q456" s="8" t="s">
        <v>75</v>
      </c>
      <c r="R456" s="10" t="s">
        <v>178</v>
      </c>
      <c r="S456" s="11" t="s">
        <v>2933</v>
      </c>
      <c r="T456" s="6" t="s">
        <v>59</v>
      </c>
      <c r="U456" s="27" t="str">
        <f>HYPERLINK("https://media.infra-m.ru/2104/2104855/cover/2104855.jpg", "Обложка")</f>
        <v>Обложка</v>
      </c>
      <c r="V456" s="27" t="str">
        <f>HYPERLINK("https://znanium.com/catalog/product/2104855", "Ознакомиться")</f>
        <v>Ознакомиться</v>
      </c>
      <c r="W456" s="8" t="s">
        <v>69</v>
      </c>
      <c r="X456" s="6"/>
      <c r="Y456" s="6"/>
      <c r="Z456" s="6"/>
      <c r="AA456" s="6" t="s">
        <v>2934</v>
      </c>
    </row>
    <row r="457" spans="1:27" s="4" customFormat="1" ht="51.95" customHeight="1">
      <c r="A457" s="5">
        <v>0</v>
      </c>
      <c r="B457" s="6" t="s">
        <v>2935</v>
      </c>
      <c r="C457" s="13">
        <v>1154.9000000000001</v>
      </c>
      <c r="D457" s="8" t="s">
        <v>2936</v>
      </c>
      <c r="E457" s="8" t="s">
        <v>2937</v>
      </c>
      <c r="F457" s="8" t="s">
        <v>2938</v>
      </c>
      <c r="G457" s="6" t="s">
        <v>92</v>
      </c>
      <c r="H457" s="6" t="s">
        <v>424</v>
      </c>
      <c r="I457" s="8" t="s">
        <v>425</v>
      </c>
      <c r="J457" s="9">
        <v>1</v>
      </c>
      <c r="K457" s="9">
        <v>256</v>
      </c>
      <c r="L457" s="9">
        <v>2023</v>
      </c>
      <c r="M457" s="8" t="s">
        <v>2939</v>
      </c>
      <c r="N457" s="8" t="s">
        <v>41</v>
      </c>
      <c r="O457" s="8" t="s">
        <v>42</v>
      </c>
      <c r="P457" s="6" t="s">
        <v>43</v>
      </c>
      <c r="Q457" s="8" t="s">
        <v>56</v>
      </c>
      <c r="R457" s="10" t="s">
        <v>2940</v>
      </c>
      <c r="S457" s="11" t="s">
        <v>2941</v>
      </c>
      <c r="T457" s="6"/>
      <c r="U457" s="27" t="str">
        <f>HYPERLINK("https://media.infra-m.ru/2029/2029848/cover/2029848.jpg", "Обложка")</f>
        <v>Обложка</v>
      </c>
      <c r="V457" s="27" t="str">
        <f>HYPERLINK("https://znanium.com/catalog/product/1841699", "Ознакомиться")</f>
        <v>Ознакомиться</v>
      </c>
      <c r="W457" s="8" t="s">
        <v>125</v>
      </c>
      <c r="X457" s="6"/>
      <c r="Y457" s="6"/>
      <c r="Z457" s="6"/>
      <c r="AA457" s="6" t="s">
        <v>47</v>
      </c>
    </row>
    <row r="458" spans="1:27" s="4" customFormat="1" ht="51.95" customHeight="1">
      <c r="A458" s="5">
        <v>0</v>
      </c>
      <c r="B458" s="6" t="s">
        <v>2942</v>
      </c>
      <c r="C458" s="13">
        <v>1080</v>
      </c>
      <c r="D458" s="8" t="s">
        <v>2943</v>
      </c>
      <c r="E458" s="8" t="s">
        <v>2944</v>
      </c>
      <c r="F458" s="8" t="s">
        <v>2938</v>
      </c>
      <c r="G458" s="6" t="s">
        <v>37</v>
      </c>
      <c r="H458" s="6" t="s">
        <v>38</v>
      </c>
      <c r="I458" s="8" t="s">
        <v>53</v>
      </c>
      <c r="J458" s="9">
        <v>1</v>
      </c>
      <c r="K458" s="9">
        <v>238</v>
      </c>
      <c r="L458" s="9">
        <v>2023</v>
      </c>
      <c r="M458" s="8" t="s">
        <v>2945</v>
      </c>
      <c r="N458" s="8" t="s">
        <v>41</v>
      </c>
      <c r="O458" s="8" t="s">
        <v>42</v>
      </c>
      <c r="P458" s="6" t="s">
        <v>43</v>
      </c>
      <c r="Q458" s="8" t="s">
        <v>56</v>
      </c>
      <c r="R458" s="10" t="s">
        <v>2320</v>
      </c>
      <c r="S458" s="11" t="s">
        <v>2946</v>
      </c>
      <c r="T458" s="6"/>
      <c r="U458" s="27" t="str">
        <f>HYPERLINK("https://media.infra-m.ru/2021/2021387/cover/2021387.jpg", "Обложка")</f>
        <v>Обложка</v>
      </c>
      <c r="V458" s="27" t="str">
        <f>HYPERLINK("https://znanium.com/catalog/product/2021387", "Ознакомиться")</f>
        <v>Ознакомиться</v>
      </c>
      <c r="W458" s="8" t="s">
        <v>125</v>
      </c>
      <c r="X458" s="6"/>
      <c r="Y458" s="6"/>
      <c r="Z458" s="6"/>
      <c r="AA458" s="6" t="s">
        <v>47</v>
      </c>
    </row>
    <row r="459" spans="1:27" s="4" customFormat="1" ht="42" customHeight="1">
      <c r="A459" s="5">
        <v>0</v>
      </c>
      <c r="B459" s="6" t="s">
        <v>2947</v>
      </c>
      <c r="C459" s="13">
        <v>1244</v>
      </c>
      <c r="D459" s="8" t="s">
        <v>2948</v>
      </c>
      <c r="E459" s="8" t="s">
        <v>2949</v>
      </c>
      <c r="F459" s="8" t="s">
        <v>2950</v>
      </c>
      <c r="G459" s="6" t="s">
        <v>92</v>
      </c>
      <c r="H459" s="6" t="s">
        <v>38</v>
      </c>
      <c r="I459" s="8" t="s">
        <v>73</v>
      </c>
      <c r="J459" s="9">
        <v>1</v>
      </c>
      <c r="K459" s="9">
        <v>270</v>
      </c>
      <c r="L459" s="9">
        <v>2024</v>
      </c>
      <c r="M459" s="8" t="s">
        <v>2951</v>
      </c>
      <c r="N459" s="8" t="s">
        <v>41</v>
      </c>
      <c r="O459" s="8" t="s">
        <v>42</v>
      </c>
      <c r="P459" s="6" t="s">
        <v>43</v>
      </c>
      <c r="Q459" s="8" t="s">
        <v>75</v>
      </c>
      <c r="R459" s="10" t="s">
        <v>353</v>
      </c>
      <c r="S459" s="11"/>
      <c r="T459" s="6" t="s">
        <v>59</v>
      </c>
      <c r="U459" s="27" t="str">
        <f>HYPERLINK("https://media.infra-m.ru/2083/2083886/cover/2083886.jpg", "Обложка")</f>
        <v>Обложка</v>
      </c>
      <c r="V459" s="27" t="str">
        <f>HYPERLINK("https://znanium.com/catalog/product/1081371", "Ознакомиться")</f>
        <v>Ознакомиться</v>
      </c>
      <c r="W459" s="8"/>
      <c r="X459" s="6"/>
      <c r="Y459" s="6"/>
      <c r="Z459" s="6"/>
      <c r="AA459" s="6" t="s">
        <v>274</v>
      </c>
    </row>
    <row r="460" spans="1:27" s="4" customFormat="1" ht="42" customHeight="1">
      <c r="A460" s="5">
        <v>0</v>
      </c>
      <c r="B460" s="6" t="s">
        <v>2952</v>
      </c>
      <c r="C460" s="13">
        <v>1444.9</v>
      </c>
      <c r="D460" s="8" t="s">
        <v>2953</v>
      </c>
      <c r="E460" s="8" t="s">
        <v>2954</v>
      </c>
      <c r="F460" s="8" t="s">
        <v>2582</v>
      </c>
      <c r="G460" s="6" t="s">
        <v>92</v>
      </c>
      <c r="H460" s="6" t="s">
        <v>131</v>
      </c>
      <c r="I460" s="8" t="s">
        <v>132</v>
      </c>
      <c r="J460" s="9">
        <v>1</v>
      </c>
      <c r="K460" s="9">
        <v>320</v>
      </c>
      <c r="L460" s="9">
        <v>2023</v>
      </c>
      <c r="M460" s="8" t="s">
        <v>2955</v>
      </c>
      <c r="N460" s="8" t="s">
        <v>41</v>
      </c>
      <c r="O460" s="8" t="s">
        <v>42</v>
      </c>
      <c r="P460" s="6" t="s">
        <v>43</v>
      </c>
      <c r="Q460" s="8" t="s">
        <v>75</v>
      </c>
      <c r="R460" s="10" t="s">
        <v>178</v>
      </c>
      <c r="S460" s="11"/>
      <c r="T460" s="6"/>
      <c r="U460" s="27" t="str">
        <f>HYPERLINK("https://media.infra-m.ru/1981/1981612/cover/1981612.jpg", "Обложка")</f>
        <v>Обложка</v>
      </c>
      <c r="V460" s="27" t="str">
        <f>HYPERLINK("https://znanium.com/catalog/product/1013472", "Ознакомиться")</f>
        <v>Ознакомиться</v>
      </c>
      <c r="W460" s="8" t="s">
        <v>1745</v>
      </c>
      <c r="X460" s="6"/>
      <c r="Y460" s="6"/>
      <c r="Z460" s="6"/>
      <c r="AA460" s="6" t="s">
        <v>213</v>
      </c>
    </row>
    <row r="461" spans="1:27" s="4" customFormat="1" ht="51.95" customHeight="1">
      <c r="A461" s="5">
        <v>0</v>
      </c>
      <c r="B461" s="6" t="s">
        <v>2956</v>
      </c>
      <c r="C461" s="7">
        <v>884</v>
      </c>
      <c r="D461" s="8" t="s">
        <v>2957</v>
      </c>
      <c r="E461" s="8" t="s">
        <v>2958</v>
      </c>
      <c r="F461" s="8" t="s">
        <v>2959</v>
      </c>
      <c r="G461" s="6" t="s">
        <v>92</v>
      </c>
      <c r="H461" s="6" t="s">
        <v>131</v>
      </c>
      <c r="I461" s="8" t="s">
        <v>132</v>
      </c>
      <c r="J461" s="9">
        <v>1</v>
      </c>
      <c r="K461" s="9">
        <v>192</v>
      </c>
      <c r="L461" s="9">
        <v>2024</v>
      </c>
      <c r="M461" s="8" t="s">
        <v>2960</v>
      </c>
      <c r="N461" s="8" t="s">
        <v>41</v>
      </c>
      <c r="O461" s="8" t="s">
        <v>42</v>
      </c>
      <c r="P461" s="6" t="s">
        <v>55</v>
      </c>
      <c r="Q461" s="8" t="s">
        <v>75</v>
      </c>
      <c r="R461" s="10" t="s">
        <v>2961</v>
      </c>
      <c r="S461" s="11" t="s">
        <v>769</v>
      </c>
      <c r="T461" s="6"/>
      <c r="U461" s="27" t="str">
        <f>HYPERLINK("https://media.infra-m.ru/2083/2083224/cover/2083224.jpg", "Обложка")</f>
        <v>Обложка</v>
      </c>
      <c r="V461" s="27" t="str">
        <f>HYPERLINK("https://znanium.com/catalog/product/1758036", "Ознакомиться")</f>
        <v>Ознакомиться</v>
      </c>
      <c r="W461" s="8" t="s">
        <v>125</v>
      </c>
      <c r="X461" s="6"/>
      <c r="Y461" s="6"/>
      <c r="Z461" s="6"/>
      <c r="AA461" s="6" t="s">
        <v>150</v>
      </c>
    </row>
    <row r="462" spans="1:27" s="4" customFormat="1" ht="51.95" customHeight="1">
      <c r="A462" s="5">
        <v>0</v>
      </c>
      <c r="B462" s="6" t="s">
        <v>2962</v>
      </c>
      <c r="C462" s="7">
        <v>780</v>
      </c>
      <c r="D462" s="8" t="s">
        <v>2963</v>
      </c>
      <c r="E462" s="8" t="s">
        <v>2964</v>
      </c>
      <c r="F462" s="8" t="s">
        <v>2965</v>
      </c>
      <c r="G462" s="6" t="s">
        <v>119</v>
      </c>
      <c r="H462" s="6" t="s">
        <v>38</v>
      </c>
      <c r="I462" s="8" t="s">
        <v>73</v>
      </c>
      <c r="J462" s="9">
        <v>1</v>
      </c>
      <c r="K462" s="9">
        <v>168</v>
      </c>
      <c r="L462" s="9">
        <v>2024</v>
      </c>
      <c r="M462" s="8" t="s">
        <v>2966</v>
      </c>
      <c r="N462" s="8" t="s">
        <v>41</v>
      </c>
      <c r="O462" s="8" t="s">
        <v>42</v>
      </c>
      <c r="P462" s="6" t="s">
        <v>43</v>
      </c>
      <c r="Q462" s="8" t="s">
        <v>75</v>
      </c>
      <c r="R462" s="10" t="s">
        <v>2967</v>
      </c>
      <c r="S462" s="11" t="s">
        <v>2968</v>
      </c>
      <c r="T462" s="6"/>
      <c r="U462" s="27" t="str">
        <f>HYPERLINK("https://media.infra-m.ru/2107/2107433/cover/2107433.jpg", "Обложка")</f>
        <v>Обложка</v>
      </c>
      <c r="V462" s="27" t="str">
        <f>HYPERLINK("https://znanium.com/catalog/product/2107433", "Ознакомиться")</f>
        <v>Ознакомиться</v>
      </c>
      <c r="W462" s="8" t="s">
        <v>2969</v>
      </c>
      <c r="X462" s="6"/>
      <c r="Y462" s="6"/>
      <c r="Z462" s="6"/>
      <c r="AA462" s="6" t="s">
        <v>330</v>
      </c>
    </row>
    <row r="463" spans="1:27" s="4" customFormat="1" ht="51.95" customHeight="1">
      <c r="A463" s="5">
        <v>0</v>
      </c>
      <c r="B463" s="6" t="s">
        <v>2970</v>
      </c>
      <c r="C463" s="13">
        <v>1720</v>
      </c>
      <c r="D463" s="8" t="s">
        <v>2971</v>
      </c>
      <c r="E463" s="8" t="s">
        <v>2972</v>
      </c>
      <c r="F463" s="8" t="s">
        <v>2973</v>
      </c>
      <c r="G463" s="6" t="s">
        <v>37</v>
      </c>
      <c r="H463" s="6" t="s">
        <v>38</v>
      </c>
      <c r="I463" s="8" t="s">
        <v>73</v>
      </c>
      <c r="J463" s="9">
        <v>1</v>
      </c>
      <c r="K463" s="9">
        <v>383</v>
      </c>
      <c r="L463" s="9">
        <v>2023</v>
      </c>
      <c r="M463" s="8" t="s">
        <v>2974</v>
      </c>
      <c r="N463" s="8" t="s">
        <v>41</v>
      </c>
      <c r="O463" s="8" t="s">
        <v>42</v>
      </c>
      <c r="P463" s="6" t="s">
        <v>55</v>
      </c>
      <c r="Q463" s="8" t="s">
        <v>75</v>
      </c>
      <c r="R463" s="10" t="s">
        <v>2975</v>
      </c>
      <c r="S463" s="11" t="s">
        <v>2976</v>
      </c>
      <c r="T463" s="6" t="s">
        <v>59</v>
      </c>
      <c r="U463" s="27" t="str">
        <f>HYPERLINK("https://media.infra-m.ru/1915/1915727/cover/1915727.jpg", "Обложка")</f>
        <v>Обложка</v>
      </c>
      <c r="V463" s="27" t="str">
        <f>HYPERLINK("https://znanium.com/catalog/product/1915727", "Ознакомиться")</f>
        <v>Ознакомиться</v>
      </c>
      <c r="W463" s="8" t="s">
        <v>149</v>
      </c>
      <c r="X463" s="6"/>
      <c r="Y463" s="6"/>
      <c r="Z463" s="6"/>
      <c r="AA463" s="6" t="s">
        <v>2977</v>
      </c>
    </row>
    <row r="464" spans="1:27" s="4" customFormat="1" ht="51.95" customHeight="1">
      <c r="A464" s="5">
        <v>0</v>
      </c>
      <c r="B464" s="6" t="s">
        <v>2978</v>
      </c>
      <c r="C464" s="7">
        <v>790</v>
      </c>
      <c r="D464" s="8" t="s">
        <v>2979</v>
      </c>
      <c r="E464" s="8" t="s">
        <v>2980</v>
      </c>
      <c r="F464" s="8" t="s">
        <v>2981</v>
      </c>
      <c r="G464" s="6" t="s">
        <v>119</v>
      </c>
      <c r="H464" s="6" t="s">
        <v>131</v>
      </c>
      <c r="I464" s="8" t="s">
        <v>53</v>
      </c>
      <c r="J464" s="9">
        <v>1</v>
      </c>
      <c r="K464" s="9">
        <v>176</v>
      </c>
      <c r="L464" s="9">
        <v>2020</v>
      </c>
      <c r="M464" s="8" t="s">
        <v>2982</v>
      </c>
      <c r="N464" s="8" t="s">
        <v>41</v>
      </c>
      <c r="O464" s="8" t="s">
        <v>42</v>
      </c>
      <c r="P464" s="6" t="s">
        <v>55</v>
      </c>
      <c r="Q464" s="8" t="s">
        <v>56</v>
      </c>
      <c r="R464" s="10" t="s">
        <v>2983</v>
      </c>
      <c r="S464" s="11" t="s">
        <v>2984</v>
      </c>
      <c r="T464" s="6"/>
      <c r="U464" s="27" t="str">
        <f>HYPERLINK("https://media.infra-m.ru/1960/1960946/cover/1960946.jpg", "Обложка")</f>
        <v>Обложка</v>
      </c>
      <c r="V464" s="27" t="str">
        <f>HYPERLINK("https://znanium.com/catalog/product/1960946", "Ознакомиться")</f>
        <v>Ознакомиться</v>
      </c>
      <c r="W464" s="8" t="s">
        <v>2969</v>
      </c>
      <c r="X464" s="6"/>
      <c r="Y464" s="6"/>
      <c r="Z464" s="6"/>
      <c r="AA464" s="6" t="s">
        <v>469</v>
      </c>
    </row>
    <row r="465" spans="1:27" s="4" customFormat="1" ht="51.95" customHeight="1">
      <c r="A465" s="5">
        <v>0</v>
      </c>
      <c r="B465" s="6" t="s">
        <v>2985</v>
      </c>
      <c r="C465" s="7">
        <v>730</v>
      </c>
      <c r="D465" s="8" t="s">
        <v>2986</v>
      </c>
      <c r="E465" s="8" t="s">
        <v>2987</v>
      </c>
      <c r="F465" s="8" t="s">
        <v>2988</v>
      </c>
      <c r="G465" s="6" t="s">
        <v>92</v>
      </c>
      <c r="H465" s="6" t="s">
        <v>38</v>
      </c>
      <c r="I465" s="8" t="s">
        <v>39</v>
      </c>
      <c r="J465" s="9">
        <v>1</v>
      </c>
      <c r="K465" s="9">
        <v>148</v>
      </c>
      <c r="L465" s="9">
        <v>2022</v>
      </c>
      <c r="M465" s="8" t="s">
        <v>2989</v>
      </c>
      <c r="N465" s="8" t="s">
        <v>41</v>
      </c>
      <c r="O465" s="8" t="s">
        <v>42</v>
      </c>
      <c r="P465" s="6" t="s">
        <v>43</v>
      </c>
      <c r="Q465" s="8" t="s">
        <v>44</v>
      </c>
      <c r="R465" s="10" t="s">
        <v>2990</v>
      </c>
      <c r="S465" s="11" t="s">
        <v>2991</v>
      </c>
      <c r="T465" s="6"/>
      <c r="U465" s="27" t="str">
        <f>HYPERLINK("https://media.infra-m.ru/1819/1819520/cover/1819520.jpg", "Обложка")</f>
        <v>Обложка</v>
      </c>
      <c r="V465" s="27" t="str">
        <f>HYPERLINK("https://znanium.com/catalog/product/1819520", "Ознакомиться")</f>
        <v>Ознакомиться</v>
      </c>
      <c r="W465" s="8" t="s">
        <v>2992</v>
      </c>
      <c r="X465" s="6"/>
      <c r="Y465" s="6"/>
      <c r="Z465" s="6"/>
      <c r="AA465" s="6" t="s">
        <v>204</v>
      </c>
    </row>
    <row r="466" spans="1:27" s="14" customFormat="1" ht="21.95" customHeight="1"/>
    <row r="467" spans="1:27" ht="15.95" customHeight="1">
      <c r="A467" s="24" t="s">
        <v>23</v>
      </c>
      <c r="B467" s="24"/>
    </row>
    <row r="468" spans="1:27" s="15" customFormat="1" ht="12.95" customHeight="1"/>
    <row r="469" spans="1:27" s="15" customFormat="1" ht="12.95" customHeight="1">
      <c r="A469" s="25" t="s">
        <v>2993</v>
      </c>
      <c r="B469" s="25"/>
      <c r="C469" s="25" t="s">
        <v>2994</v>
      </c>
      <c r="D469" s="25"/>
      <c r="E469" s="25"/>
    </row>
    <row r="470" spans="1:27" s="15" customFormat="1" ht="12.95" customHeight="1">
      <c r="A470" s="25" t="s">
        <v>2995</v>
      </c>
      <c r="B470" s="25"/>
      <c r="C470" s="25" t="s">
        <v>2996</v>
      </c>
      <c r="D470" s="25"/>
      <c r="E470" s="25"/>
    </row>
    <row r="471" spans="1:27" s="15" customFormat="1" ht="12.95" customHeight="1">
      <c r="A471" s="25" t="s">
        <v>2997</v>
      </c>
      <c r="B471" s="25"/>
      <c r="C471" s="25" t="s">
        <v>2996</v>
      </c>
      <c r="D471" s="25"/>
      <c r="E471" s="25"/>
    </row>
    <row r="472" spans="1:27" s="15" customFormat="1" ht="12.95" customHeight="1">
      <c r="A472" s="25" t="s">
        <v>2998</v>
      </c>
      <c r="B472" s="25"/>
      <c r="C472" s="25" t="s">
        <v>2999</v>
      </c>
      <c r="D472" s="25"/>
      <c r="E472" s="25"/>
    </row>
    <row r="473" spans="1:27" s="15" customFormat="1" ht="12.95" customHeight="1">
      <c r="A473" s="25" t="s">
        <v>3000</v>
      </c>
      <c r="B473" s="25"/>
      <c r="C473" s="25" t="s">
        <v>3001</v>
      </c>
      <c r="D473" s="25"/>
      <c r="E473" s="25"/>
    </row>
    <row r="474" spans="1:27" s="15" customFormat="1" ht="12.95" customHeight="1">
      <c r="A474" s="25" t="s">
        <v>1034</v>
      </c>
      <c r="B474" s="25"/>
      <c r="C474" s="25" t="s">
        <v>3002</v>
      </c>
      <c r="D474" s="25"/>
      <c r="E474" s="25"/>
    </row>
    <row r="475" spans="1:27" s="15" customFormat="1" ht="12.95" customHeight="1">
      <c r="A475" s="25" t="s">
        <v>1641</v>
      </c>
      <c r="B475" s="25"/>
      <c r="C475" s="25" t="s">
        <v>3003</v>
      </c>
      <c r="D475" s="25"/>
      <c r="E475" s="25"/>
    </row>
    <row r="476" spans="1:27" s="15" customFormat="1" ht="12.95" customHeight="1">
      <c r="A476" s="25" t="s">
        <v>3004</v>
      </c>
      <c r="B476" s="25"/>
      <c r="C476" s="25" t="s">
        <v>3005</v>
      </c>
      <c r="D476" s="25"/>
      <c r="E476" s="25"/>
    </row>
    <row r="477" spans="1:27" s="15" customFormat="1" ht="12.95" customHeight="1">
      <c r="A477" s="25" t="s">
        <v>2166</v>
      </c>
      <c r="B477" s="25"/>
      <c r="C477" s="25" t="s">
        <v>3006</v>
      </c>
      <c r="D477" s="25"/>
      <c r="E477" s="25"/>
    </row>
    <row r="478" spans="1:27" s="15" customFormat="1" ht="12.95" customHeight="1">
      <c r="A478" s="25" t="s">
        <v>3007</v>
      </c>
      <c r="B478" s="25"/>
      <c r="C478" s="25" t="s">
        <v>3008</v>
      </c>
      <c r="D478" s="25"/>
      <c r="E478" s="25"/>
    </row>
    <row r="479" spans="1:27" s="15" customFormat="1" ht="12.95" customHeight="1">
      <c r="A479" s="25" t="s">
        <v>3009</v>
      </c>
      <c r="B479" s="25"/>
      <c r="C479" s="25" t="s">
        <v>3010</v>
      </c>
      <c r="D479" s="25"/>
      <c r="E479" s="25"/>
    </row>
    <row r="480" spans="1:27" s="15" customFormat="1" ht="12.95" customHeight="1">
      <c r="A480" s="25" t="s">
        <v>3011</v>
      </c>
      <c r="B480" s="25"/>
      <c r="C480" s="25" t="s">
        <v>3010</v>
      </c>
      <c r="D480" s="25"/>
      <c r="E480" s="25"/>
    </row>
    <row r="481" spans="1:5" s="15" customFormat="1" ht="12.95" customHeight="1">
      <c r="A481" s="25" t="s">
        <v>3012</v>
      </c>
      <c r="B481" s="25"/>
      <c r="C481" s="25" t="s">
        <v>3013</v>
      </c>
      <c r="D481" s="25"/>
      <c r="E481" s="25"/>
    </row>
    <row r="482" spans="1:5" s="15" customFormat="1" ht="12.95" customHeight="1">
      <c r="A482" s="25" t="s">
        <v>3014</v>
      </c>
      <c r="B482" s="25"/>
      <c r="C482" s="25" t="s">
        <v>3015</v>
      </c>
      <c r="D482" s="25"/>
      <c r="E482" s="25"/>
    </row>
    <row r="483" spans="1:5" s="15" customFormat="1" ht="12.95" customHeight="1">
      <c r="A483" s="25" t="s">
        <v>3016</v>
      </c>
      <c r="B483" s="25"/>
      <c r="C483" s="25" t="s">
        <v>3015</v>
      </c>
      <c r="D483" s="25"/>
      <c r="E483" s="25"/>
    </row>
    <row r="484" spans="1:5" s="15" customFormat="1" ht="12.95" customHeight="1">
      <c r="A484" s="25" t="s">
        <v>3017</v>
      </c>
      <c r="B484" s="25"/>
      <c r="C484" s="25" t="s">
        <v>3018</v>
      </c>
      <c r="D484" s="25"/>
      <c r="E484" s="25"/>
    </row>
    <row r="485" spans="1:5" s="15" customFormat="1" ht="12.95" customHeight="1">
      <c r="A485" s="25" t="s">
        <v>3019</v>
      </c>
      <c r="B485" s="25"/>
      <c r="C485" s="25" t="s">
        <v>3020</v>
      </c>
      <c r="D485" s="25"/>
      <c r="E485" s="25"/>
    </row>
    <row r="486" spans="1:5" s="15" customFormat="1" ht="12.95" customHeight="1">
      <c r="A486" s="25" t="s">
        <v>3021</v>
      </c>
      <c r="B486" s="25"/>
      <c r="C486" s="25" t="s">
        <v>3022</v>
      </c>
      <c r="D486" s="25"/>
      <c r="E486" s="25"/>
    </row>
    <row r="487" spans="1:5" s="15" customFormat="1" ht="12.95" customHeight="1">
      <c r="A487" s="25" t="s">
        <v>3023</v>
      </c>
      <c r="B487" s="25"/>
      <c r="C487" s="25" t="s">
        <v>3024</v>
      </c>
      <c r="D487" s="25"/>
      <c r="E487" s="25"/>
    </row>
    <row r="488" spans="1:5" s="15" customFormat="1" ht="12.95" customHeight="1">
      <c r="A488" s="25" t="s">
        <v>3025</v>
      </c>
      <c r="B488" s="25"/>
      <c r="C488" s="25" t="s">
        <v>3026</v>
      </c>
      <c r="D488" s="25"/>
      <c r="E488" s="25"/>
    </row>
    <row r="489" spans="1:5" s="15" customFormat="1" ht="12.95" customHeight="1">
      <c r="A489" s="25" t="s">
        <v>3027</v>
      </c>
      <c r="B489" s="25"/>
      <c r="C489" s="25" t="s">
        <v>3028</v>
      </c>
      <c r="D489" s="25"/>
      <c r="E489" s="25"/>
    </row>
    <row r="490" spans="1:5" s="15" customFormat="1" ht="12.95" customHeight="1">
      <c r="A490" s="25" t="s">
        <v>3029</v>
      </c>
      <c r="B490" s="25"/>
      <c r="C490" s="25" t="s">
        <v>3030</v>
      </c>
      <c r="D490" s="25"/>
      <c r="E490" s="25"/>
    </row>
    <row r="491" spans="1:5" s="15" customFormat="1" ht="12.95" customHeight="1">
      <c r="A491" s="25" t="s">
        <v>3031</v>
      </c>
      <c r="B491" s="25"/>
      <c r="C491" s="25" t="s">
        <v>3032</v>
      </c>
      <c r="D491" s="25"/>
      <c r="E491" s="25"/>
    </row>
    <row r="492" spans="1:5" s="15" customFormat="1" ht="12.95" customHeight="1">
      <c r="A492" s="25" t="s">
        <v>3033</v>
      </c>
      <c r="B492" s="25"/>
      <c r="C492" s="25" t="s">
        <v>3034</v>
      </c>
      <c r="D492" s="25"/>
      <c r="E492" s="25"/>
    </row>
    <row r="493" spans="1:5" s="15" customFormat="1" ht="12.95" customHeight="1">
      <c r="A493" s="25" t="s">
        <v>3035</v>
      </c>
      <c r="B493" s="25"/>
      <c r="C493" s="25" t="s">
        <v>3036</v>
      </c>
      <c r="D493" s="25"/>
      <c r="E493" s="25"/>
    </row>
    <row r="494" spans="1:5" s="15" customFormat="1" ht="12.95" customHeight="1">
      <c r="A494" s="25" t="s">
        <v>3037</v>
      </c>
      <c r="B494" s="25"/>
      <c r="C494" s="25" t="s">
        <v>3034</v>
      </c>
      <c r="D494" s="25"/>
      <c r="E494" s="25"/>
    </row>
    <row r="495" spans="1:5" s="15" customFormat="1" ht="12.95" customHeight="1">
      <c r="A495" s="25" t="s">
        <v>3038</v>
      </c>
      <c r="B495" s="25"/>
      <c r="C495" s="25" t="s">
        <v>3036</v>
      </c>
      <c r="D495" s="25"/>
      <c r="E495" s="25"/>
    </row>
    <row r="496" spans="1:5" s="15" customFormat="1" ht="12.95" customHeight="1">
      <c r="A496" s="25" t="s">
        <v>3039</v>
      </c>
      <c r="B496" s="25"/>
      <c r="C496" s="25" t="s">
        <v>3040</v>
      </c>
      <c r="D496" s="25"/>
      <c r="E496" s="25"/>
    </row>
    <row r="497" spans="1:5" s="15" customFormat="1" ht="12.95" customHeight="1">
      <c r="A497" s="25" t="s">
        <v>3041</v>
      </c>
      <c r="B497" s="25"/>
      <c r="C497" s="25" t="s">
        <v>3042</v>
      </c>
      <c r="D497" s="25"/>
      <c r="E497" s="25"/>
    </row>
    <row r="498" spans="1:5" s="15" customFormat="1" ht="12.95" customHeight="1">
      <c r="A498" s="25" t="s">
        <v>3043</v>
      </c>
      <c r="B498" s="25"/>
      <c r="C498" s="25" t="s">
        <v>3044</v>
      </c>
      <c r="D498" s="25"/>
      <c r="E498" s="25"/>
    </row>
    <row r="499" spans="1:5" s="15" customFormat="1" ht="12.95" customHeight="1">
      <c r="A499" s="25" t="s">
        <v>3045</v>
      </c>
      <c r="B499" s="25"/>
      <c r="C499" s="25" t="s">
        <v>3046</v>
      </c>
      <c r="D499" s="25"/>
      <c r="E499" s="25"/>
    </row>
    <row r="500" spans="1:5" s="15" customFormat="1" ht="12.95" customHeight="1">
      <c r="A500" s="25" t="s">
        <v>3047</v>
      </c>
      <c r="B500" s="25"/>
      <c r="C500" s="25" t="s">
        <v>3048</v>
      </c>
      <c r="D500" s="25"/>
      <c r="E500" s="25"/>
    </row>
    <row r="501" spans="1:5" s="15" customFormat="1" ht="12.95" customHeight="1">
      <c r="A501" s="25" t="s">
        <v>3049</v>
      </c>
      <c r="B501" s="25"/>
      <c r="C501" s="25" t="s">
        <v>3044</v>
      </c>
      <c r="D501" s="25"/>
      <c r="E501" s="25"/>
    </row>
    <row r="502" spans="1:5" s="15" customFormat="1" ht="12.95" customHeight="1">
      <c r="A502" s="25" t="s">
        <v>3050</v>
      </c>
      <c r="B502" s="25"/>
      <c r="C502" s="25" t="s">
        <v>3051</v>
      </c>
      <c r="D502" s="25"/>
      <c r="E502" s="25"/>
    </row>
    <row r="503" spans="1:5" s="15" customFormat="1" ht="12.95" customHeight="1">
      <c r="A503" s="25" t="s">
        <v>3052</v>
      </c>
      <c r="B503" s="25"/>
      <c r="C503" s="25" t="s">
        <v>3053</v>
      </c>
      <c r="D503" s="25"/>
      <c r="E503" s="25"/>
    </row>
    <row r="504" spans="1:5" s="15" customFormat="1" ht="12.95" customHeight="1">
      <c r="A504" s="25" t="s">
        <v>3054</v>
      </c>
      <c r="B504" s="25"/>
      <c r="C504" s="25" t="s">
        <v>3055</v>
      </c>
      <c r="D504" s="25"/>
      <c r="E504" s="25"/>
    </row>
    <row r="505" spans="1:5" s="15" customFormat="1" ht="12.95" customHeight="1">
      <c r="A505" s="25" t="s">
        <v>3056</v>
      </c>
      <c r="B505" s="25"/>
      <c r="C505" s="25" t="s">
        <v>3057</v>
      </c>
      <c r="D505" s="25"/>
      <c r="E505" s="25"/>
    </row>
    <row r="506" spans="1:5" s="15" customFormat="1" ht="12.95" customHeight="1">
      <c r="A506" s="25" t="s">
        <v>3058</v>
      </c>
      <c r="B506" s="25"/>
      <c r="C506" s="25" t="s">
        <v>3059</v>
      </c>
      <c r="D506" s="25"/>
      <c r="E506" s="25"/>
    </row>
    <row r="507" spans="1:5" s="15" customFormat="1" ht="12.95" customHeight="1">
      <c r="A507" s="25" t="s">
        <v>3060</v>
      </c>
      <c r="B507" s="25"/>
      <c r="C507" s="25" t="s">
        <v>3061</v>
      </c>
      <c r="D507" s="25"/>
      <c r="E507" s="25"/>
    </row>
    <row r="508" spans="1:5" s="15" customFormat="1" ht="12.95" customHeight="1">
      <c r="A508" s="25" t="s">
        <v>3062</v>
      </c>
      <c r="B508" s="25"/>
      <c r="C508" s="25" t="s">
        <v>3063</v>
      </c>
      <c r="D508" s="25"/>
      <c r="E508" s="25"/>
    </row>
    <row r="509" spans="1:5" s="15" customFormat="1" ht="12.95" customHeight="1">
      <c r="A509" s="25" t="s">
        <v>3064</v>
      </c>
      <c r="B509" s="25"/>
      <c r="C509" s="25" t="s">
        <v>3065</v>
      </c>
      <c r="D509" s="25"/>
      <c r="E509" s="25"/>
    </row>
    <row r="510" spans="1:5" s="15" customFormat="1" ht="12.95" customHeight="1">
      <c r="A510" s="25" t="s">
        <v>3066</v>
      </c>
      <c r="B510" s="25"/>
      <c r="C510" s="25" t="s">
        <v>3067</v>
      </c>
      <c r="D510" s="25"/>
      <c r="E510" s="25"/>
    </row>
    <row r="511" spans="1:5" s="15" customFormat="1" ht="12.95" customHeight="1">
      <c r="A511" s="25" t="s">
        <v>3068</v>
      </c>
      <c r="B511" s="25"/>
      <c r="C511" s="25" t="s">
        <v>3069</v>
      </c>
      <c r="D511" s="25"/>
      <c r="E511" s="25"/>
    </row>
    <row r="512" spans="1:5" s="15" customFormat="1" ht="12.95" customHeight="1">
      <c r="A512" s="25" t="s">
        <v>3070</v>
      </c>
      <c r="B512" s="25"/>
      <c r="C512" s="25" t="s">
        <v>3071</v>
      </c>
      <c r="D512" s="25"/>
      <c r="E512" s="25"/>
    </row>
    <row r="513" spans="1:5" s="15" customFormat="1" ht="12.95" customHeight="1">
      <c r="A513" s="25" t="s">
        <v>3072</v>
      </c>
      <c r="B513" s="25"/>
      <c r="C513" s="25" t="s">
        <v>3073</v>
      </c>
      <c r="D513" s="25"/>
      <c r="E513" s="25"/>
    </row>
    <row r="514" spans="1:5" s="15" customFormat="1" ht="12.95" customHeight="1">
      <c r="A514" s="25" t="s">
        <v>3074</v>
      </c>
      <c r="B514" s="25"/>
      <c r="C514" s="25" t="s">
        <v>3075</v>
      </c>
      <c r="D514" s="25"/>
      <c r="E514" s="25"/>
    </row>
    <row r="515" spans="1:5" s="15" customFormat="1" ht="12.95" customHeight="1">
      <c r="A515" s="25" t="s">
        <v>3076</v>
      </c>
      <c r="B515" s="25"/>
      <c r="C515" s="25" t="s">
        <v>3077</v>
      </c>
      <c r="D515" s="25"/>
      <c r="E515" s="25"/>
    </row>
    <row r="516" spans="1:5" s="15" customFormat="1" ht="12.95" customHeight="1">
      <c r="A516" s="25" t="s">
        <v>3078</v>
      </c>
      <c r="B516" s="25"/>
      <c r="C516" s="25" t="s">
        <v>3079</v>
      </c>
      <c r="D516" s="25"/>
      <c r="E516" s="25"/>
    </row>
    <row r="517" spans="1:5" s="15" customFormat="1" ht="12.95" customHeight="1">
      <c r="A517" s="25" t="s">
        <v>3080</v>
      </c>
      <c r="B517" s="25"/>
      <c r="C517" s="25" t="s">
        <v>3081</v>
      </c>
      <c r="D517" s="25"/>
      <c r="E517" s="25"/>
    </row>
    <row r="518" spans="1:5" s="15" customFormat="1" ht="12.95" customHeight="1">
      <c r="A518" s="25" t="s">
        <v>3082</v>
      </c>
      <c r="B518" s="25"/>
      <c r="C518" s="25" t="s">
        <v>3083</v>
      </c>
      <c r="D518" s="25"/>
      <c r="E518" s="25"/>
    </row>
    <row r="519" spans="1:5" s="15" customFormat="1" ht="12.95" customHeight="1">
      <c r="A519" s="25" t="s">
        <v>3084</v>
      </c>
      <c r="B519" s="25"/>
      <c r="C519" s="25" t="s">
        <v>3077</v>
      </c>
      <c r="D519" s="25"/>
      <c r="E519" s="25"/>
    </row>
    <row r="520" spans="1:5" s="15" customFormat="1" ht="12.95" customHeight="1">
      <c r="A520" s="25" t="s">
        <v>3085</v>
      </c>
      <c r="B520" s="25"/>
      <c r="C520" s="25" t="s">
        <v>3079</v>
      </c>
      <c r="D520" s="25"/>
      <c r="E520" s="25"/>
    </row>
    <row r="521" spans="1:5" s="15" customFormat="1" ht="12.95" customHeight="1">
      <c r="A521" s="25" t="s">
        <v>3086</v>
      </c>
      <c r="B521" s="25"/>
      <c r="C521" s="25" t="s">
        <v>3081</v>
      </c>
      <c r="D521" s="25"/>
      <c r="E521" s="25"/>
    </row>
    <row r="522" spans="1:5" s="15" customFormat="1" ht="12.95" customHeight="1">
      <c r="A522" s="25" t="s">
        <v>3087</v>
      </c>
      <c r="B522" s="25"/>
      <c r="C522" s="25" t="s">
        <v>3083</v>
      </c>
      <c r="D522" s="25"/>
      <c r="E522" s="25"/>
    </row>
    <row r="523" spans="1:5" s="15" customFormat="1" ht="12.95" customHeight="1">
      <c r="A523" s="25" t="s">
        <v>3088</v>
      </c>
      <c r="B523" s="25"/>
      <c r="C523" s="25" t="s">
        <v>3089</v>
      </c>
      <c r="D523" s="25"/>
      <c r="E523" s="25"/>
    </row>
    <row r="524" spans="1:5" s="15" customFormat="1" ht="12.95" customHeight="1">
      <c r="A524" s="25" t="s">
        <v>3090</v>
      </c>
      <c r="B524" s="25"/>
      <c r="C524" s="25" t="s">
        <v>3091</v>
      </c>
      <c r="D524" s="25"/>
      <c r="E524" s="25"/>
    </row>
    <row r="525" spans="1:5" s="15" customFormat="1" ht="12.95" customHeight="1">
      <c r="A525" s="25" t="s">
        <v>3092</v>
      </c>
      <c r="B525" s="25"/>
      <c r="C525" s="25" t="s">
        <v>3093</v>
      </c>
      <c r="D525" s="25"/>
      <c r="E525" s="25"/>
    </row>
    <row r="526" spans="1:5" s="15" customFormat="1" ht="12.95" customHeight="1">
      <c r="A526" s="25" t="s">
        <v>3094</v>
      </c>
      <c r="B526" s="25"/>
      <c r="C526" s="25" t="s">
        <v>3095</v>
      </c>
      <c r="D526" s="25"/>
      <c r="E526" s="25"/>
    </row>
    <row r="527" spans="1:5" s="15" customFormat="1" ht="12.95" customHeight="1">
      <c r="A527" s="25" t="s">
        <v>3096</v>
      </c>
      <c r="B527" s="25"/>
      <c r="C527" s="25" t="s">
        <v>3097</v>
      </c>
      <c r="D527" s="25"/>
      <c r="E527" s="25"/>
    </row>
    <row r="528" spans="1:5" s="15" customFormat="1" ht="12.95" customHeight="1">
      <c r="A528" s="25" t="s">
        <v>3098</v>
      </c>
      <c r="B528" s="25"/>
      <c r="C528" s="25" t="s">
        <v>3099</v>
      </c>
      <c r="D528" s="25"/>
      <c r="E528" s="25"/>
    </row>
    <row r="529" spans="1:5" s="15" customFormat="1" ht="12.95" customHeight="1">
      <c r="A529" s="25" t="s">
        <v>3100</v>
      </c>
      <c r="B529" s="25"/>
      <c r="C529" s="25" t="s">
        <v>3101</v>
      </c>
      <c r="D529" s="25"/>
      <c r="E529" s="25"/>
    </row>
    <row r="530" spans="1:5" s="15" customFormat="1" ht="12.95" customHeight="1">
      <c r="A530" s="25" t="s">
        <v>3102</v>
      </c>
      <c r="B530" s="25"/>
      <c r="C530" s="25" t="s">
        <v>3103</v>
      </c>
      <c r="D530" s="25"/>
      <c r="E530" s="25"/>
    </row>
    <row r="531" spans="1:5" s="15" customFormat="1" ht="12.95" customHeight="1">
      <c r="A531" s="25" t="s">
        <v>3104</v>
      </c>
      <c r="B531" s="25"/>
      <c r="C531" s="25" t="s">
        <v>3105</v>
      </c>
      <c r="D531" s="25"/>
      <c r="E531" s="25"/>
    </row>
    <row r="532" spans="1:5" s="15" customFormat="1" ht="12.95" customHeight="1">
      <c r="A532" s="25" t="s">
        <v>3106</v>
      </c>
      <c r="B532" s="25"/>
      <c r="C532" s="25" t="s">
        <v>3107</v>
      </c>
      <c r="D532" s="25"/>
      <c r="E532" s="25"/>
    </row>
    <row r="533" spans="1:5" s="15" customFormat="1" ht="12.95" customHeight="1">
      <c r="A533" s="25" t="s">
        <v>3108</v>
      </c>
      <c r="B533" s="25"/>
      <c r="C533" s="25" t="s">
        <v>3109</v>
      </c>
      <c r="D533" s="25"/>
      <c r="E533" s="25"/>
    </row>
    <row r="534" spans="1:5" s="15" customFormat="1" ht="12.95" customHeight="1">
      <c r="A534" s="25" t="s">
        <v>3110</v>
      </c>
      <c r="B534" s="25"/>
      <c r="C534" s="25" t="s">
        <v>3111</v>
      </c>
      <c r="D534" s="25"/>
      <c r="E534" s="25"/>
    </row>
    <row r="535" spans="1:5" s="15" customFormat="1" ht="12.95" customHeight="1">
      <c r="A535" s="25" t="s">
        <v>3112</v>
      </c>
      <c r="B535" s="25"/>
      <c r="C535" s="25" t="s">
        <v>3113</v>
      </c>
      <c r="D535" s="25"/>
      <c r="E535" s="25"/>
    </row>
    <row r="536" spans="1:5" s="15" customFormat="1" ht="12.95" customHeight="1">
      <c r="A536" s="25" t="s">
        <v>3114</v>
      </c>
      <c r="B536" s="25"/>
      <c r="C536" s="25" t="s">
        <v>3115</v>
      </c>
      <c r="D536" s="25"/>
      <c r="E536" s="25"/>
    </row>
    <row r="537" spans="1:5" s="15" customFormat="1" ht="12.95" customHeight="1">
      <c r="A537" s="25" t="s">
        <v>3116</v>
      </c>
      <c r="B537" s="25"/>
      <c r="C537" s="25" t="s">
        <v>3117</v>
      </c>
      <c r="D537" s="25"/>
      <c r="E537" s="25"/>
    </row>
    <row r="538" spans="1:5" s="15" customFormat="1" ht="12.95" customHeight="1">
      <c r="A538" s="25" t="s">
        <v>3118</v>
      </c>
      <c r="B538" s="25"/>
      <c r="C538" s="25" t="s">
        <v>3119</v>
      </c>
      <c r="D538" s="25"/>
      <c r="E538" s="25"/>
    </row>
    <row r="539" spans="1:5" s="15" customFormat="1" ht="12.95" customHeight="1">
      <c r="A539" s="25" t="s">
        <v>3120</v>
      </c>
      <c r="B539" s="25"/>
      <c r="C539" s="25" t="s">
        <v>3121</v>
      </c>
      <c r="D539" s="25"/>
      <c r="E539" s="25"/>
    </row>
    <row r="540" spans="1:5" s="15" customFormat="1" ht="12.95" customHeight="1">
      <c r="A540" s="25" t="s">
        <v>3122</v>
      </c>
      <c r="B540" s="25"/>
      <c r="C540" s="25" t="s">
        <v>3123</v>
      </c>
      <c r="D540" s="25"/>
      <c r="E540" s="25"/>
    </row>
    <row r="541" spans="1:5" s="15" customFormat="1" ht="12.95" customHeight="1">
      <c r="A541" s="25" t="s">
        <v>3124</v>
      </c>
      <c r="B541" s="25"/>
      <c r="C541" s="25" t="s">
        <v>3125</v>
      </c>
      <c r="D541" s="25"/>
      <c r="E541" s="25"/>
    </row>
    <row r="542" spans="1:5" s="15" customFormat="1" ht="12.95" customHeight="1">
      <c r="A542" s="25" t="s">
        <v>3126</v>
      </c>
      <c r="B542" s="25"/>
      <c r="C542" s="25" t="s">
        <v>3127</v>
      </c>
      <c r="D542" s="25"/>
      <c r="E542" s="25"/>
    </row>
    <row r="543" spans="1:5" s="15" customFormat="1" ht="12.95" customHeight="1">
      <c r="A543" s="25" t="s">
        <v>3128</v>
      </c>
      <c r="B543" s="25"/>
      <c r="C543" s="25" t="s">
        <v>3129</v>
      </c>
      <c r="D543" s="25"/>
      <c r="E543" s="25"/>
    </row>
    <row r="544" spans="1:5" s="15" customFormat="1" ht="12.95" customHeight="1">
      <c r="A544" s="25" t="s">
        <v>3130</v>
      </c>
      <c r="B544" s="25"/>
      <c r="C544" s="25" t="s">
        <v>3131</v>
      </c>
      <c r="D544" s="25"/>
      <c r="E544" s="25"/>
    </row>
    <row r="545" spans="1:5" s="15" customFormat="1" ht="12.95" customHeight="1">
      <c r="A545" s="25" t="s">
        <v>3132</v>
      </c>
      <c r="B545" s="25"/>
      <c r="C545" s="25" t="s">
        <v>3133</v>
      </c>
      <c r="D545" s="25"/>
      <c r="E545" s="25"/>
    </row>
    <row r="546" spans="1:5" s="15" customFormat="1" ht="12.95" customHeight="1">
      <c r="A546" s="25" t="s">
        <v>3134</v>
      </c>
      <c r="B546" s="25"/>
      <c r="C546" s="25" t="s">
        <v>3135</v>
      </c>
      <c r="D546" s="25"/>
      <c r="E546" s="25"/>
    </row>
    <row r="547" spans="1:5" s="15" customFormat="1" ht="12.95" customHeight="1">
      <c r="A547" s="25" t="s">
        <v>3136</v>
      </c>
      <c r="B547" s="25"/>
      <c r="C547" s="25" t="s">
        <v>3137</v>
      </c>
      <c r="D547" s="25"/>
      <c r="E547" s="25"/>
    </row>
    <row r="548" spans="1:5" s="15" customFormat="1" ht="12.95" customHeight="1">
      <c r="A548" s="25" t="s">
        <v>3138</v>
      </c>
      <c r="B548" s="25"/>
      <c r="C548" s="25" t="s">
        <v>3139</v>
      </c>
      <c r="D548" s="25"/>
      <c r="E548" s="25"/>
    </row>
    <row r="549" spans="1:5" s="15" customFormat="1" ht="12.95" customHeight="1">
      <c r="A549" s="25" t="s">
        <v>3140</v>
      </c>
      <c r="B549" s="25"/>
      <c r="C549" s="25" t="s">
        <v>3141</v>
      </c>
      <c r="D549" s="25"/>
      <c r="E549" s="25"/>
    </row>
    <row r="550" spans="1:5" s="15" customFormat="1" ht="12.95" customHeight="1">
      <c r="A550" s="25" t="s">
        <v>3142</v>
      </c>
      <c r="B550" s="25"/>
      <c r="C550" s="25" t="s">
        <v>3143</v>
      </c>
      <c r="D550" s="25"/>
      <c r="E550" s="25"/>
    </row>
    <row r="551" spans="1:5" s="15" customFormat="1" ht="12.95" customHeight="1">
      <c r="A551" s="25" t="s">
        <v>3144</v>
      </c>
      <c r="B551" s="25"/>
      <c r="C551" s="25" t="s">
        <v>3145</v>
      </c>
      <c r="D551" s="25"/>
      <c r="E551" s="25"/>
    </row>
    <row r="552" spans="1:5" s="15" customFormat="1" ht="12.95" customHeight="1">
      <c r="A552" s="25" t="s">
        <v>3146</v>
      </c>
      <c r="B552" s="25"/>
      <c r="C552" s="25" t="s">
        <v>3147</v>
      </c>
      <c r="D552" s="25"/>
      <c r="E552" s="25"/>
    </row>
    <row r="553" spans="1:5" s="15" customFormat="1" ht="12.95" customHeight="1">
      <c r="A553" s="25" t="s">
        <v>3148</v>
      </c>
      <c r="B553" s="25"/>
      <c r="C553" s="25" t="s">
        <v>3149</v>
      </c>
      <c r="D553" s="25"/>
      <c r="E553" s="25"/>
    </row>
    <row r="554" spans="1:5" s="15" customFormat="1" ht="12.95" customHeight="1">
      <c r="A554" s="25" t="s">
        <v>3150</v>
      </c>
      <c r="B554" s="25"/>
      <c r="C554" s="25" t="s">
        <v>3151</v>
      </c>
      <c r="D554" s="25"/>
      <c r="E554" s="25"/>
    </row>
    <row r="555" spans="1:5" s="15" customFormat="1" ht="12.95" customHeight="1">
      <c r="A555" s="25" t="s">
        <v>3152</v>
      </c>
      <c r="B555" s="25"/>
      <c r="C555" s="25" t="s">
        <v>3153</v>
      </c>
      <c r="D555" s="25"/>
      <c r="E555" s="25"/>
    </row>
    <row r="556" spans="1:5" s="15" customFormat="1" ht="12.95" customHeight="1">
      <c r="A556" s="25" t="s">
        <v>3154</v>
      </c>
      <c r="B556" s="25"/>
      <c r="C556" s="25" t="s">
        <v>3155</v>
      </c>
      <c r="D556" s="25"/>
      <c r="E556" s="25"/>
    </row>
    <row r="557" spans="1:5" s="15" customFormat="1" ht="12.95" customHeight="1">
      <c r="A557" s="25" t="s">
        <v>3156</v>
      </c>
      <c r="B557" s="25"/>
      <c r="C557" s="25" t="s">
        <v>3157</v>
      </c>
      <c r="D557" s="25"/>
      <c r="E557" s="25"/>
    </row>
    <row r="558" spans="1:5" s="15" customFormat="1" ht="12.95" customHeight="1">
      <c r="A558" s="25" t="s">
        <v>3158</v>
      </c>
      <c r="B558" s="25"/>
      <c r="C558" s="25" t="s">
        <v>3159</v>
      </c>
      <c r="D558" s="25"/>
      <c r="E558" s="25"/>
    </row>
    <row r="559" spans="1:5" s="15" customFormat="1" ht="12.95" customHeight="1">
      <c r="A559" s="25" t="s">
        <v>3160</v>
      </c>
      <c r="B559" s="25"/>
      <c r="C559" s="25" t="s">
        <v>3161</v>
      </c>
      <c r="D559" s="25"/>
      <c r="E559" s="25"/>
    </row>
    <row r="560" spans="1:5" s="15" customFormat="1" ht="12.95" customHeight="1">
      <c r="A560" s="25" t="s">
        <v>3162</v>
      </c>
      <c r="B560" s="25"/>
      <c r="C560" s="25" t="s">
        <v>3163</v>
      </c>
      <c r="D560" s="25"/>
      <c r="E560" s="25"/>
    </row>
    <row r="561" spans="1:5" s="15" customFormat="1" ht="12.95" customHeight="1">
      <c r="A561" s="25" t="s">
        <v>3164</v>
      </c>
      <c r="B561" s="25"/>
      <c r="C561" s="25" t="s">
        <v>3165</v>
      </c>
      <c r="D561" s="25"/>
      <c r="E561" s="25"/>
    </row>
    <row r="562" spans="1:5" s="15" customFormat="1" ht="12.95" customHeight="1">
      <c r="A562" s="25" t="s">
        <v>3166</v>
      </c>
      <c r="B562" s="25"/>
      <c r="C562" s="25" t="s">
        <v>3167</v>
      </c>
      <c r="D562" s="25"/>
      <c r="E562" s="25"/>
    </row>
    <row r="563" spans="1:5" s="15" customFormat="1" ht="12.95" customHeight="1">
      <c r="A563" s="25" t="s">
        <v>3168</v>
      </c>
      <c r="B563" s="25"/>
      <c r="C563" s="25" t="s">
        <v>3169</v>
      </c>
      <c r="D563" s="25"/>
      <c r="E563" s="25"/>
    </row>
    <row r="564" spans="1:5" s="15" customFormat="1" ht="12.95" customHeight="1">
      <c r="A564" s="25" t="s">
        <v>3170</v>
      </c>
      <c r="B564" s="25"/>
      <c r="C564" s="25" t="s">
        <v>3167</v>
      </c>
      <c r="D564" s="25"/>
      <c r="E564" s="25"/>
    </row>
    <row r="565" spans="1:5" s="15" customFormat="1" ht="12.95" customHeight="1">
      <c r="A565" s="25" t="s">
        <v>3171</v>
      </c>
      <c r="B565" s="25"/>
      <c r="C565" s="25" t="s">
        <v>3169</v>
      </c>
      <c r="D565" s="25"/>
      <c r="E565" s="25"/>
    </row>
    <row r="566" spans="1:5" s="15" customFormat="1" ht="12.95" customHeight="1">
      <c r="A566" s="25" t="s">
        <v>3172</v>
      </c>
      <c r="B566" s="25"/>
      <c r="C566" s="25" t="s">
        <v>3173</v>
      </c>
      <c r="D566" s="25"/>
      <c r="E566" s="25"/>
    </row>
    <row r="567" spans="1:5" s="15" customFormat="1" ht="12.95" customHeight="1">
      <c r="A567" s="25" t="s">
        <v>3174</v>
      </c>
      <c r="B567" s="25"/>
      <c r="C567" s="25" t="s">
        <v>3175</v>
      </c>
      <c r="D567" s="25"/>
      <c r="E567" s="25"/>
    </row>
    <row r="568" spans="1:5" s="15" customFormat="1" ht="12.95" customHeight="1">
      <c r="A568" s="25" t="s">
        <v>3176</v>
      </c>
      <c r="B568" s="25"/>
      <c r="C568" s="25" t="s">
        <v>3177</v>
      </c>
      <c r="D568" s="25"/>
      <c r="E568" s="25"/>
    </row>
    <row r="569" spans="1:5" s="15" customFormat="1" ht="12.95" customHeight="1">
      <c r="A569" s="25" t="s">
        <v>3178</v>
      </c>
      <c r="B569" s="25"/>
      <c r="C569" s="25" t="s">
        <v>3179</v>
      </c>
      <c r="D569" s="25"/>
      <c r="E569" s="25"/>
    </row>
    <row r="570" spans="1:5" s="15" customFormat="1" ht="12.95" customHeight="1">
      <c r="A570" s="25" t="s">
        <v>3180</v>
      </c>
      <c r="B570" s="25"/>
      <c r="C570" s="25" t="s">
        <v>3177</v>
      </c>
      <c r="D570" s="25"/>
      <c r="E570" s="25"/>
    </row>
    <row r="571" spans="1:5" s="15" customFormat="1" ht="12.95" customHeight="1">
      <c r="A571" s="25" t="s">
        <v>3181</v>
      </c>
      <c r="B571" s="25"/>
      <c r="C571" s="25" t="s">
        <v>3182</v>
      </c>
      <c r="D571" s="25"/>
      <c r="E571" s="25"/>
    </row>
    <row r="572" spans="1:5" s="15" customFormat="1" ht="12.95" customHeight="1">
      <c r="A572" s="25" t="s">
        <v>3183</v>
      </c>
      <c r="B572" s="25"/>
      <c r="C572" s="25" t="s">
        <v>3184</v>
      </c>
      <c r="D572" s="25"/>
      <c r="E572" s="25"/>
    </row>
    <row r="573" spans="1:5" s="15" customFormat="1" ht="12.95" customHeight="1">
      <c r="A573" s="25" t="s">
        <v>3185</v>
      </c>
      <c r="B573" s="25"/>
      <c r="C573" s="25" t="s">
        <v>3184</v>
      </c>
      <c r="D573" s="25"/>
      <c r="E573" s="25"/>
    </row>
    <row r="574" spans="1:5" s="15" customFormat="1" ht="12.95" customHeight="1">
      <c r="A574" s="25" t="s">
        <v>3186</v>
      </c>
      <c r="B574" s="25"/>
      <c r="C574" s="25" t="s">
        <v>3187</v>
      </c>
      <c r="D574" s="25"/>
      <c r="E574" s="25"/>
    </row>
    <row r="575" spans="1:5" s="15" customFormat="1" ht="12.95" customHeight="1">
      <c r="A575" s="25" t="s">
        <v>3188</v>
      </c>
      <c r="B575" s="25"/>
      <c r="C575" s="25" t="s">
        <v>3189</v>
      </c>
      <c r="D575" s="25"/>
      <c r="E575" s="25"/>
    </row>
    <row r="576" spans="1:5" s="15" customFormat="1" ht="12.95" customHeight="1">
      <c r="A576" s="25" t="s">
        <v>3190</v>
      </c>
      <c r="B576" s="25"/>
      <c r="C576" s="25" t="s">
        <v>3191</v>
      </c>
      <c r="D576" s="25"/>
      <c r="E576" s="25"/>
    </row>
    <row r="577" spans="1:5" s="15" customFormat="1" ht="12.95" customHeight="1">
      <c r="A577" s="25" t="s">
        <v>3192</v>
      </c>
      <c r="B577" s="25"/>
      <c r="C577" s="25" t="s">
        <v>3193</v>
      </c>
      <c r="D577" s="25"/>
      <c r="E577" s="25"/>
    </row>
    <row r="578" spans="1:5" s="15" customFormat="1" ht="12.95" customHeight="1">
      <c r="A578" s="25" t="s">
        <v>3194</v>
      </c>
      <c r="B578" s="25"/>
      <c r="C578" s="25" t="s">
        <v>3195</v>
      </c>
      <c r="D578" s="25"/>
      <c r="E578" s="25"/>
    </row>
    <row r="579" spans="1:5" s="15" customFormat="1" ht="12.95" customHeight="1">
      <c r="A579" s="25" t="s">
        <v>3196</v>
      </c>
      <c r="B579" s="25"/>
      <c r="C579" s="25" t="s">
        <v>3197</v>
      </c>
      <c r="D579" s="25"/>
      <c r="E579" s="25"/>
    </row>
    <row r="580" spans="1:5" s="15" customFormat="1" ht="26.1" customHeight="1">
      <c r="A580" s="25" t="s">
        <v>3198</v>
      </c>
      <c r="B580" s="25"/>
      <c r="C580" s="25" t="s">
        <v>3199</v>
      </c>
      <c r="D580" s="25"/>
      <c r="E580" s="25"/>
    </row>
    <row r="581" spans="1:5" s="15" customFormat="1" ht="12.95" customHeight="1">
      <c r="A581" s="25" t="s">
        <v>3200</v>
      </c>
      <c r="B581" s="25"/>
      <c r="C581" s="25" t="s">
        <v>3201</v>
      </c>
      <c r="D581" s="25"/>
      <c r="E581" s="25"/>
    </row>
    <row r="582" spans="1:5" s="15" customFormat="1" ht="12.95" customHeight="1">
      <c r="A582" s="25" t="s">
        <v>3202</v>
      </c>
      <c r="B582" s="25"/>
      <c r="C582" s="25" t="s">
        <v>3203</v>
      </c>
      <c r="D582" s="25"/>
      <c r="E582" s="25"/>
    </row>
    <row r="583" spans="1:5" s="15" customFormat="1" ht="12.95" customHeight="1">
      <c r="A583" s="25" t="s">
        <v>3204</v>
      </c>
      <c r="B583" s="25"/>
      <c r="C583" s="25" t="s">
        <v>3205</v>
      </c>
      <c r="D583" s="25"/>
      <c r="E583" s="25"/>
    </row>
    <row r="584" spans="1:5" s="15" customFormat="1" ht="12.95" customHeight="1">
      <c r="A584" s="25" t="s">
        <v>3206</v>
      </c>
      <c r="B584" s="25"/>
      <c r="C584" s="25" t="s">
        <v>3207</v>
      </c>
      <c r="D584" s="25"/>
      <c r="E584" s="25"/>
    </row>
    <row r="585" spans="1:5" s="15" customFormat="1" ht="12.95" customHeight="1">
      <c r="A585" s="25" t="s">
        <v>3208</v>
      </c>
      <c r="B585" s="25"/>
      <c r="C585" s="25" t="s">
        <v>3203</v>
      </c>
      <c r="D585" s="25"/>
      <c r="E585" s="25"/>
    </row>
    <row r="586" spans="1:5" s="15" customFormat="1" ht="12.95" customHeight="1">
      <c r="A586" s="25" t="s">
        <v>3209</v>
      </c>
      <c r="B586" s="25"/>
      <c r="C586" s="25" t="s">
        <v>3205</v>
      </c>
      <c r="D586" s="25"/>
      <c r="E586" s="25"/>
    </row>
    <row r="587" spans="1:5" s="15" customFormat="1" ht="12.95" customHeight="1">
      <c r="A587" s="25" t="s">
        <v>3210</v>
      </c>
      <c r="B587" s="25"/>
      <c r="C587" s="25" t="s">
        <v>3207</v>
      </c>
      <c r="D587" s="25"/>
      <c r="E587" s="25"/>
    </row>
    <row r="588" spans="1:5" s="15" customFormat="1" ht="12.95" customHeight="1">
      <c r="A588" s="25" t="s">
        <v>3211</v>
      </c>
      <c r="B588" s="25"/>
      <c r="C588" s="25" t="s">
        <v>3212</v>
      </c>
      <c r="D588" s="25"/>
      <c r="E588" s="25"/>
    </row>
    <row r="589" spans="1:5" s="15" customFormat="1" ht="12.95" customHeight="1">
      <c r="A589" s="25" t="s">
        <v>3213</v>
      </c>
      <c r="B589" s="25"/>
      <c r="C589" s="25" t="s">
        <v>3214</v>
      </c>
      <c r="D589" s="25"/>
      <c r="E589" s="25"/>
    </row>
    <row r="590" spans="1:5" s="15" customFormat="1" ht="12.95" customHeight="1">
      <c r="A590" s="25" t="s">
        <v>3215</v>
      </c>
      <c r="B590" s="25"/>
      <c r="C590" s="25" t="s">
        <v>3216</v>
      </c>
      <c r="D590" s="25"/>
      <c r="E590" s="25"/>
    </row>
    <row r="591" spans="1:5" s="15" customFormat="1" ht="12.95" customHeight="1">
      <c r="A591" s="25" t="s">
        <v>3217</v>
      </c>
      <c r="B591" s="25"/>
      <c r="C591" s="25" t="s">
        <v>3218</v>
      </c>
      <c r="D591" s="25"/>
      <c r="E591" s="25"/>
    </row>
    <row r="592" spans="1:5" s="15" customFormat="1" ht="12.95" customHeight="1">
      <c r="A592" s="25" t="s">
        <v>3219</v>
      </c>
      <c r="B592" s="25"/>
      <c r="C592" s="25" t="s">
        <v>3220</v>
      </c>
      <c r="D592" s="25"/>
      <c r="E592" s="25"/>
    </row>
    <row r="593" spans="1:5" s="15" customFormat="1" ht="12.95" customHeight="1">
      <c r="A593" s="25" t="s">
        <v>3221</v>
      </c>
      <c r="B593" s="25"/>
      <c r="C593" s="25" t="s">
        <v>3220</v>
      </c>
      <c r="D593" s="25"/>
      <c r="E593" s="25"/>
    </row>
    <row r="594" spans="1:5" s="15" customFormat="1" ht="12.95" customHeight="1">
      <c r="A594" s="25" t="s">
        <v>3222</v>
      </c>
      <c r="B594" s="25"/>
      <c r="C594" s="25" t="s">
        <v>3223</v>
      </c>
      <c r="D594" s="25"/>
      <c r="E594" s="25"/>
    </row>
    <row r="595" spans="1:5" s="15" customFormat="1" ht="12.95" customHeight="1">
      <c r="A595" s="25" t="s">
        <v>3224</v>
      </c>
      <c r="B595" s="25"/>
      <c r="C595" s="25" t="s">
        <v>3225</v>
      </c>
      <c r="D595" s="25"/>
      <c r="E595" s="25"/>
    </row>
    <row r="596" spans="1:5" s="15" customFormat="1" ht="12.95" customHeight="1">
      <c r="A596" s="25" t="s">
        <v>3226</v>
      </c>
      <c r="B596" s="25"/>
      <c r="C596" s="25" t="s">
        <v>3227</v>
      </c>
      <c r="D596" s="25"/>
      <c r="E596" s="25"/>
    </row>
    <row r="597" spans="1:5" s="15" customFormat="1" ht="12.95" customHeight="1">
      <c r="A597" s="25" t="s">
        <v>3228</v>
      </c>
      <c r="B597" s="25"/>
      <c r="C597" s="25" t="s">
        <v>3229</v>
      </c>
      <c r="D597" s="25"/>
      <c r="E597" s="25"/>
    </row>
    <row r="598" spans="1:5" s="15" customFormat="1" ht="12.95" customHeight="1">
      <c r="A598" s="25" t="s">
        <v>3230</v>
      </c>
      <c r="B598" s="25"/>
      <c r="C598" s="25" t="s">
        <v>3231</v>
      </c>
      <c r="D598" s="25"/>
      <c r="E598" s="25"/>
    </row>
    <row r="599" spans="1:5" s="15" customFormat="1" ht="12.95" customHeight="1">
      <c r="A599" s="25" t="s">
        <v>3232</v>
      </c>
      <c r="B599" s="25"/>
      <c r="C599" s="25" t="s">
        <v>3233</v>
      </c>
      <c r="D599" s="25"/>
      <c r="E599" s="25"/>
    </row>
    <row r="600" spans="1:5" s="15" customFormat="1" ht="12.95" customHeight="1">
      <c r="A600" s="25" t="s">
        <v>3234</v>
      </c>
      <c r="B600" s="25"/>
      <c r="C600" s="25" t="s">
        <v>3235</v>
      </c>
      <c r="D600" s="25"/>
      <c r="E600" s="25"/>
    </row>
    <row r="601" spans="1:5" s="15" customFormat="1" ht="12.95" customHeight="1">
      <c r="A601" s="25" t="s">
        <v>3236</v>
      </c>
      <c r="B601" s="25"/>
      <c r="C601" s="25" t="s">
        <v>3237</v>
      </c>
      <c r="D601" s="25"/>
      <c r="E601" s="25"/>
    </row>
    <row r="602" spans="1:5" s="15" customFormat="1" ht="12.95" customHeight="1">
      <c r="A602" s="25" t="s">
        <v>3238</v>
      </c>
      <c r="B602" s="25"/>
      <c r="C602" s="25" t="s">
        <v>3239</v>
      </c>
      <c r="D602" s="25"/>
      <c r="E602" s="25"/>
    </row>
    <row r="603" spans="1:5" s="15" customFormat="1" ht="12.95" customHeight="1">
      <c r="A603" s="25" t="s">
        <v>3240</v>
      </c>
      <c r="B603" s="25"/>
      <c r="C603" s="25" t="s">
        <v>3241</v>
      </c>
      <c r="D603" s="25"/>
      <c r="E603" s="25"/>
    </row>
    <row r="604" spans="1:5" s="15" customFormat="1" ht="12.95" customHeight="1">
      <c r="A604" s="25" t="s">
        <v>3242</v>
      </c>
      <c r="B604" s="25"/>
      <c r="C604" s="25" t="s">
        <v>3243</v>
      </c>
      <c r="D604" s="25"/>
      <c r="E604" s="25"/>
    </row>
    <row r="605" spans="1:5" s="15" customFormat="1" ht="12.95" customHeight="1">
      <c r="A605" s="25" t="s">
        <v>3244</v>
      </c>
      <c r="B605" s="25"/>
      <c r="C605" s="25" t="s">
        <v>3245</v>
      </c>
      <c r="D605" s="25"/>
      <c r="E605" s="25"/>
    </row>
    <row r="606" spans="1:5" s="15" customFormat="1" ht="12.95" customHeight="1">
      <c r="A606" s="25" t="s">
        <v>3246</v>
      </c>
      <c r="B606" s="25"/>
      <c r="C606" s="25" t="s">
        <v>3247</v>
      </c>
      <c r="D606" s="25"/>
      <c r="E606" s="25"/>
    </row>
    <row r="607" spans="1:5" s="15" customFormat="1" ht="12.95" customHeight="1">
      <c r="A607" s="25" t="s">
        <v>3248</v>
      </c>
      <c r="B607" s="25"/>
      <c r="C607" s="25" t="s">
        <v>3249</v>
      </c>
      <c r="D607" s="25"/>
      <c r="E607" s="25"/>
    </row>
    <row r="608" spans="1:5" s="15" customFormat="1" ht="12.95" customHeight="1">
      <c r="A608" s="25" t="s">
        <v>3250</v>
      </c>
      <c r="B608" s="25"/>
      <c r="C608" s="25" t="s">
        <v>3251</v>
      </c>
      <c r="D608" s="25"/>
      <c r="E608" s="25"/>
    </row>
    <row r="609" spans="1:5" s="15" customFormat="1" ht="12.95" customHeight="1">
      <c r="A609" s="25" t="s">
        <v>3252</v>
      </c>
      <c r="B609" s="25"/>
      <c r="C609" s="25" t="s">
        <v>3253</v>
      </c>
      <c r="D609" s="25"/>
      <c r="E609" s="25"/>
    </row>
    <row r="610" spans="1:5" s="15" customFormat="1" ht="12.95" customHeight="1">
      <c r="A610" s="25" t="s">
        <v>3254</v>
      </c>
      <c r="B610" s="25"/>
      <c r="C610" s="25" t="s">
        <v>3255</v>
      </c>
      <c r="D610" s="25"/>
      <c r="E610" s="25"/>
    </row>
    <row r="611" spans="1:5" s="15" customFormat="1" ht="12.95" customHeight="1">
      <c r="A611" s="25" t="s">
        <v>3256</v>
      </c>
      <c r="B611" s="25"/>
      <c r="C611" s="25" t="s">
        <v>3257</v>
      </c>
      <c r="D611" s="25"/>
      <c r="E611" s="25"/>
    </row>
    <row r="612" spans="1:5" s="15" customFormat="1" ht="12.95" customHeight="1">
      <c r="A612" s="25" t="s">
        <v>3258</v>
      </c>
      <c r="B612" s="25"/>
      <c r="C612" s="25" t="s">
        <v>3259</v>
      </c>
      <c r="D612" s="25"/>
      <c r="E612" s="25"/>
    </row>
    <row r="613" spans="1:5" s="15" customFormat="1" ht="12.95" customHeight="1">
      <c r="A613" s="25" t="s">
        <v>3260</v>
      </c>
      <c r="B613" s="25"/>
      <c r="C613" s="25" t="s">
        <v>3261</v>
      </c>
      <c r="D613" s="25"/>
      <c r="E613" s="25"/>
    </row>
    <row r="614" spans="1:5" s="15" customFormat="1" ht="12.95" customHeight="1">
      <c r="A614" s="25" t="s">
        <v>3262</v>
      </c>
      <c r="B614" s="25"/>
      <c r="C614" s="25" t="s">
        <v>3261</v>
      </c>
      <c r="D614" s="25"/>
      <c r="E614" s="25"/>
    </row>
    <row r="615" spans="1:5" s="15" customFormat="1" ht="12.95" customHeight="1">
      <c r="A615" s="25" t="s">
        <v>3263</v>
      </c>
      <c r="B615" s="25"/>
      <c r="C615" s="25" t="s">
        <v>3264</v>
      </c>
      <c r="D615" s="25"/>
      <c r="E615" s="25"/>
    </row>
    <row r="616" spans="1:5" s="15" customFormat="1" ht="12.95" customHeight="1">
      <c r="A616" s="25" t="s">
        <v>3265</v>
      </c>
      <c r="B616" s="25"/>
      <c r="C616" s="25" t="s">
        <v>3266</v>
      </c>
      <c r="D616" s="25"/>
      <c r="E616" s="25"/>
    </row>
    <row r="617" spans="1:5" s="15" customFormat="1" ht="12.95" customHeight="1">
      <c r="A617" s="25" t="s">
        <v>3267</v>
      </c>
      <c r="B617" s="25"/>
      <c r="C617" s="25" t="s">
        <v>3268</v>
      </c>
      <c r="D617" s="25"/>
      <c r="E617" s="25"/>
    </row>
    <row r="618" spans="1:5" s="15" customFormat="1" ht="12.95" customHeight="1">
      <c r="A618" s="25" t="s">
        <v>3269</v>
      </c>
      <c r="B618" s="25"/>
      <c r="C618" s="25" t="s">
        <v>3268</v>
      </c>
      <c r="D618" s="25"/>
      <c r="E618" s="25"/>
    </row>
    <row r="619" spans="1:5" s="15" customFormat="1" ht="12.95" customHeight="1">
      <c r="A619" s="25" t="s">
        <v>3270</v>
      </c>
      <c r="B619" s="25"/>
      <c r="C619" s="25" t="s">
        <v>3271</v>
      </c>
      <c r="D619" s="25"/>
      <c r="E619" s="25"/>
    </row>
    <row r="620" spans="1:5" s="15" customFormat="1" ht="12.95" customHeight="1">
      <c r="A620" s="25" t="s">
        <v>3272</v>
      </c>
      <c r="B620" s="25"/>
      <c r="C620" s="25" t="s">
        <v>3273</v>
      </c>
      <c r="D620" s="25"/>
      <c r="E620" s="25"/>
    </row>
    <row r="621" spans="1:5" s="15" customFormat="1" ht="12.95" customHeight="1">
      <c r="A621" s="25" t="s">
        <v>3274</v>
      </c>
      <c r="B621" s="25"/>
      <c r="C621" s="25" t="s">
        <v>3275</v>
      </c>
      <c r="D621" s="25"/>
      <c r="E621" s="25"/>
    </row>
    <row r="622" spans="1:5" s="15" customFormat="1" ht="12.95" customHeight="1">
      <c r="A622" s="25" t="s">
        <v>3276</v>
      </c>
      <c r="B622" s="25"/>
      <c r="C622" s="25" t="s">
        <v>3277</v>
      </c>
      <c r="D622" s="25"/>
      <c r="E622" s="25"/>
    </row>
    <row r="623" spans="1:5" s="15" customFormat="1" ht="12.95" customHeight="1">
      <c r="A623" s="25" t="s">
        <v>3278</v>
      </c>
      <c r="B623" s="25"/>
      <c r="C623" s="25" t="s">
        <v>3279</v>
      </c>
      <c r="D623" s="25"/>
      <c r="E623" s="25"/>
    </row>
    <row r="624" spans="1:5" s="15" customFormat="1" ht="12.95" customHeight="1">
      <c r="A624" s="25" t="s">
        <v>3280</v>
      </c>
      <c r="B624" s="25"/>
      <c r="C624" s="25" t="s">
        <v>3281</v>
      </c>
      <c r="D624" s="25"/>
      <c r="E624" s="25"/>
    </row>
    <row r="625" spans="1:5" s="15" customFormat="1" ht="12.95" customHeight="1">
      <c r="A625" s="25" t="s">
        <v>3282</v>
      </c>
      <c r="B625" s="25"/>
      <c r="C625" s="25" t="s">
        <v>3283</v>
      </c>
      <c r="D625" s="25"/>
      <c r="E625" s="25"/>
    </row>
    <row r="626" spans="1:5" s="15" customFormat="1" ht="12.95" customHeight="1">
      <c r="A626" s="25" t="s">
        <v>3284</v>
      </c>
      <c r="B626" s="25"/>
      <c r="C626" s="25" t="s">
        <v>3285</v>
      </c>
      <c r="D626" s="25"/>
      <c r="E626" s="25"/>
    </row>
    <row r="627" spans="1:5" s="15" customFormat="1" ht="12.95" customHeight="1">
      <c r="A627" s="25" t="s">
        <v>3286</v>
      </c>
      <c r="B627" s="25"/>
      <c r="C627" s="25" t="s">
        <v>3287</v>
      </c>
      <c r="D627" s="25"/>
      <c r="E627" s="25"/>
    </row>
    <row r="628" spans="1:5" s="15" customFormat="1" ht="12.95" customHeight="1">
      <c r="A628" s="25" t="s">
        <v>3288</v>
      </c>
      <c r="B628" s="25"/>
      <c r="C628" s="25" t="s">
        <v>3289</v>
      </c>
      <c r="D628" s="25"/>
      <c r="E628" s="25"/>
    </row>
    <row r="629" spans="1:5" s="15" customFormat="1" ht="12.95" customHeight="1">
      <c r="A629" s="25" t="s">
        <v>3290</v>
      </c>
      <c r="B629" s="25"/>
      <c r="C629" s="25" t="s">
        <v>3291</v>
      </c>
      <c r="D629" s="25"/>
      <c r="E629" s="25"/>
    </row>
    <row r="630" spans="1:5" s="15" customFormat="1" ht="12.95" customHeight="1">
      <c r="A630" s="25" t="s">
        <v>3292</v>
      </c>
      <c r="B630" s="25"/>
      <c r="C630" s="25" t="s">
        <v>3293</v>
      </c>
      <c r="D630" s="25"/>
      <c r="E630" s="25"/>
    </row>
    <row r="631" spans="1:5" s="15" customFormat="1" ht="12.95" customHeight="1">
      <c r="A631" s="25" t="s">
        <v>3294</v>
      </c>
      <c r="B631" s="25"/>
      <c r="C631" s="25" t="s">
        <v>3295</v>
      </c>
      <c r="D631" s="25"/>
      <c r="E631" s="25"/>
    </row>
    <row r="632" spans="1:5" s="15" customFormat="1" ht="12.95" customHeight="1">
      <c r="A632" s="25" t="s">
        <v>3296</v>
      </c>
      <c r="B632" s="25"/>
      <c r="C632" s="25" t="s">
        <v>3297</v>
      </c>
      <c r="D632" s="25"/>
      <c r="E632" s="25"/>
    </row>
    <row r="633" spans="1:5" s="15" customFormat="1" ht="12.95" customHeight="1">
      <c r="A633" s="25" t="s">
        <v>3298</v>
      </c>
      <c r="B633" s="25"/>
      <c r="C633" s="25" t="s">
        <v>3299</v>
      </c>
      <c r="D633" s="25"/>
      <c r="E633" s="25"/>
    </row>
    <row r="634" spans="1:5" s="15" customFormat="1" ht="12.95" customHeight="1">
      <c r="A634" s="25" t="s">
        <v>3300</v>
      </c>
      <c r="B634" s="25"/>
      <c r="C634" s="25" t="s">
        <v>3301</v>
      </c>
      <c r="D634" s="25"/>
      <c r="E634" s="25"/>
    </row>
    <row r="635" spans="1:5" s="15" customFormat="1" ht="12.95" customHeight="1">
      <c r="A635" s="25" t="s">
        <v>3302</v>
      </c>
      <c r="B635" s="25"/>
      <c r="C635" s="25" t="s">
        <v>3303</v>
      </c>
      <c r="D635" s="25"/>
      <c r="E635" s="25"/>
    </row>
    <row r="636" spans="1:5" s="15" customFormat="1" ht="12.95" customHeight="1">
      <c r="A636" s="25" t="s">
        <v>3304</v>
      </c>
      <c r="B636" s="25"/>
      <c r="C636" s="25" t="s">
        <v>3305</v>
      </c>
      <c r="D636" s="25"/>
      <c r="E636" s="25"/>
    </row>
    <row r="637" spans="1:5" s="15" customFormat="1" ht="12.95" customHeight="1">
      <c r="A637" s="25" t="s">
        <v>3306</v>
      </c>
      <c r="B637" s="25"/>
      <c r="C637" s="25" t="s">
        <v>3264</v>
      </c>
      <c r="D637" s="25"/>
      <c r="E637" s="25"/>
    </row>
    <row r="638" spans="1:5" s="15" customFormat="1" ht="12.95" customHeight="1">
      <c r="A638" s="25" t="s">
        <v>3307</v>
      </c>
      <c r="B638" s="25"/>
      <c r="C638" s="25" t="s">
        <v>3308</v>
      </c>
      <c r="D638" s="25"/>
      <c r="E638" s="25"/>
    </row>
    <row r="639" spans="1:5" s="15" customFormat="1" ht="12.95" customHeight="1">
      <c r="A639" s="25" t="s">
        <v>3309</v>
      </c>
      <c r="B639" s="25"/>
      <c r="C639" s="25" t="s">
        <v>3310</v>
      </c>
      <c r="D639" s="25"/>
      <c r="E639" s="25"/>
    </row>
    <row r="640" spans="1:5" s="15" customFormat="1" ht="12.95" customHeight="1">
      <c r="A640" s="25" t="s">
        <v>3311</v>
      </c>
      <c r="B640" s="25"/>
      <c r="C640" s="25" t="s">
        <v>3312</v>
      </c>
      <c r="D640" s="25"/>
      <c r="E640" s="25"/>
    </row>
    <row r="641" spans="1:5" s="15" customFormat="1" ht="12.95" customHeight="1">
      <c r="A641" s="25" t="s">
        <v>3313</v>
      </c>
      <c r="B641" s="25"/>
      <c r="C641" s="25" t="s">
        <v>3314</v>
      </c>
      <c r="D641" s="25"/>
      <c r="E641" s="25"/>
    </row>
    <row r="642" spans="1:5" s="15" customFormat="1" ht="12.95" customHeight="1">
      <c r="A642" s="25" t="s">
        <v>3315</v>
      </c>
      <c r="B642" s="25"/>
      <c r="C642" s="25" t="s">
        <v>3316</v>
      </c>
      <c r="D642" s="25"/>
      <c r="E642" s="25"/>
    </row>
    <row r="643" spans="1:5" s="15" customFormat="1" ht="12.95" customHeight="1">
      <c r="A643" s="25" t="s">
        <v>3317</v>
      </c>
      <c r="B643" s="25"/>
      <c r="C643" s="25" t="s">
        <v>3318</v>
      </c>
      <c r="D643" s="25"/>
      <c r="E643" s="25"/>
    </row>
    <row r="644" spans="1:5" s="15" customFormat="1" ht="12.95" customHeight="1">
      <c r="A644" s="25" t="s">
        <v>3319</v>
      </c>
      <c r="B644" s="25"/>
      <c r="C644" s="25" t="s">
        <v>3320</v>
      </c>
      <c r="D644" s="25"/>
      <c r="E644" s="25"/>
    </row>
    <row r="645" spans="1:5" s="15" customFormat="1" ht="12.95" customHeight="1">
      <c r="A645" s="25" t="s">
        <v>3321</v>
      </c>
      <c r="B645" s="25"/>
      <c r="C645" s="25" t="s">
        <v>3322</v>
      </c>
      <c r="D645" s="25"/>
      <c r="E645" s="25"/>
    </row>
    <row r="646" spans="1:5" s="15" customFormat="1" ht="12.95" customHeight="1">
      <c r="A646" s="25" t="s">
        <v>3323</v>
      </c>
      <c r="B646" s="25"/>
      <c r="C646" s="25" t="s">
        <v>3324</v>
      </c>
      <c r="D646" s="25"/>
      <c r="E646" s="25"/>
    </row>
    <row r="647" spans="1:5" s="15" customFormat="1" ht="12.95" customHeight="1">
      <c r="A647" s="25" t="s">
        <v>3325</v>
      </c>
      <c r="B647" s="25"/>
      <c r="C647" s="25" t="s">
        <v>3326</v>
      </c>
      <c r="D647" s="25"/>
      <c r="E647" s="25"/>
    </row>
    <row r="648" spans="1:5" s="15" customFormat="1" ht="12.95" customHeight="1">
      <c r="A648" s="25" t="s">
        <v>3327</v>
      </c>
      <c r="B648" s="25"/>
      <c r="C648" s="25" t="s">
        <v>3328</v>
      </c>
      <c r="D648" s="25"/>
      <c r="E648" s="25"/>
    </row>
    <row r="649" spans="1:5" s="15" customFormat="1" ht="12.95" customHeight="1">
      <c r="A649" s="25" t="s">
        <v>3329</v>
      </c>
      <c r="B649" s="25"/>
      <c r="C649" s="25" t="s">
        <v>3330</v>
      </c>
      <c r="D649" s="25"/>
      <c r="E649" s="25"/>
    </row>
    <row r="650" spans="1:5" s="15" customFormat="1" ht="12.95" customHeight="1">
      <c r="A650" s="25" t="s">
        <v>3331</v>
      </c>
      <c r="B650" s="25"/>
      <c r="C650" s="25" t="s">
        <v>3332</v>
      </c>
      <c r="D650" s="25"/>
      <c r="E650" s="25"/>
    </row>
    <row r="651" spans="1:5" s="15" customFormat="1" ht="12.95" customHeight="1">
      <c r="A651" s="25" t="s">
        <v>3333</v>
      </c>
      <c r="B651" s="25"/>
      <c r="C651" s="25" t="s">
        <v>3334</v>
      </c>
      <c r="D651" s="25"/>
      <c r="E651" s="25"/>
    </row>
    <row r="652" spans="1:5" s="15" customFormat="1" ht="12.95" customHeight="1">
      <c r="A652" s="25" t="s">
        <v>3335</v>
      </c>
      <c r="B652" s="25"/>
      <c r="C652" s="25" t="s">
        <v>3336</v>
      </c>
      <c r="D652" s="25"/>
      <c r="E652" s="25"/>
    </row>
    <row r="653" spans="1:5" s="15" customFormat="1" ht="12.95" customHeight="1">
      <c r="A653" s="25" t="s">
        <v>3337</v>
      </c>
      <c r="B653" s="25"/>
      <c r="C653" s="25" t="s">
        <v>3338</v>
      </c>
      <c r="D653" s="25"/>
      <c r="E653" s="25"/>
    </row>
    <row r="654" spans="1:5" s="15" customFormat="1" ht="12.95" customHeight="1">
      <c r="A654" s="25" t="s">
        <v>3339</v>
      </c>
      <c r="B654" s="25"/>
      <c r="C654" s="25" t="s">
        <v>3340</v>
      </c>
      <c r="D654" s="25"/>
      <c r="E654" s="25"/>
    </row>
    <row r="655" spans="1:5" s="15" customFormat="1" ht="12.95" customHeight="1">
      <c r="A655" s="25" t="s">
        <v>3341</v>
      </c>
      <c r="B655" s="25"/>
      <c r="C655" s="25" t="s">
        <v>3342</v>
      </c>
      <c r="D655" s="25"/>
      <c r="E655" s="25"/>
    </row>
    <row r="656" spans="1:5" s="15" customFormat="1" ht="12.95" customHeight="1">
      <c r="A656" s="25" t="s">
        <v>3343</v>
      </c>
      <c r="B656" s="25"/>
      <c r="C656" s="25" t="s">
        <v>3344</v>
      </c>
      <c r="D656" s="25"/>
      <c r="E656" s="25"/>
    </row>
    <row r="657" spans="1:5" s="15" customFormat="1" ht="12.95" customHeight="1">
      <c r="A657" s="25" t="s">
        <v>3345</v>
      </c>
      <c r="B657" s="25"/>
      <c r="C657" s="25" t="s">
        <v>3346</v>
      </c>
      <c r="D657" s="25"/>
      <c r="E657" s="25"/>
    </row>
    <row r="658" spans="1:5" s="15" customFormat="1" ht="12.95" customHeight="1">
      <c r="A658" s="25" t="s">
        <v>3347</v>
      </c>
      <c r="B658" s="25"/>
      <c r="C658" s="25" t="s">
        <v>3348</v>
      </c>
      <c r="D658" s="25"/>
      <c r="E658" s="25"/>
    </row>
    <row r="659" spans="1:5" s="15" customFormat="1" ht="12.95" customHeight="1">
      <c r="A659" s="25" t="s">
        <v>3349</v>
      </c>
      <c r="B659" s="25"/>
      <c r="C659" s="25" t="s">
        <v>3350</v>
      </c>
      <c r="D659" s="25"/>
      <c r="E659" s="25"/>
    </row>
    <row r="660" spans="1:5" s="15" customFormat="1" ht="12.95" customHeight="1">
      <c r="A660" s="25" t="s">
        <v>3351</v>
      </c>
      <c r="B660" s="25"/>
      <c r="C660" s="25" t="s">
        <v>3352</v>
      </c>
      <c r="D660" s="25"/>
      <c r="E660" s="25"/>
    </row>
    <row r="661" spans="1:5" s="15" customFormat="1" ht="12.95" customHeight="1">
      <c r="A661" s="25" t="s">
        <v>3353</v>
      </c>
      <c r="B661" s="25"/>
      <c r="C661" s="25" t="s">
        <v>3354</v>
      </c>
      <c r="D661" s="25"/>
      <c r="E661" s="25"/>
    </row>
    <row r="662" spans="1:5" s="15" customFormat="1" ht="12.95" customHeight="1">
      <c r="A662" s="25" t="s">
        <v>3355</v>
      </c>
      <c r="B662" s="25"/>
      <c r="C662" s="25" t="s">
        <v>3356</v>
      </c>
      <c r="D662" s="25"/>
      <c r="E662" s="25"/>
    </row>
    <row r="663" spans="1:5" s="15" customFormat="1" ht="12.95" customHeight="1">
      <c r="A663" s="25" t="s">
        <v>3357</v>
      </c>
      <c r="B663" s="25"/>
      <c r="C663" s="25" t="s">
        <v>3358</v>
      </c>
      <c r="D663" s="25"/>
      <c r="E663" s="25"/>
    </row>
    <row r="664" spans="1:5" s="15" customFormat="1" ht="12.95" customHeight="1">
      <c r="A664" s="25" t="s">
        <v>3359</v>
      </c>
      <c r="B664" s="25"/>
      <c r="C664" s="25" t="s">
        <v>3360</v>
      </c>
      <c r="D664" s="25"/>
      <c r="E664" s="25"/>
    </row>
    <row r="665" spans="1:5" s="15" customFormat="1" ht="12.95" customHeight="1">
      <c r="A665" s="25" t="s">
        <v>3361</v>
      </c>
      <c r="B665" s="25"/>
      <c r="C665" s="25" t="s">
        <v>3362</v>
      </c>
      <c r="D665" s="25"/>
      <c r="E665" s="25"/>
    </row>
    <row r="666" spans="1:5" s="15" customFormat="1" ht="12.95" customHeight="1">
      <c r="A666" s="25" t="s">
        <v>3363</v>
      </c>
      <c r="B666" s="25"/>
      <c r="C666" s="25" t="s">
        <v>3364</v>
      </c>
      <c r="D666" s="25"/>
      <c r="E666" s="25"/>
    </row>
    <row r="667" spans="1:5" s="15" customFormat="1" ht="12.95" customHeight="1">
      <c r="A667" s="25" t="s">
        <v>3365</v>
      </c>
      <c r="B667" s="25"/>
      <c r="C667" s="25" t="s">
        <v>3366</v>
      </c>
      <c r="D667" s="25"/>
      <c r="E667" s="25"/>
    </row>
    <row r="668" spans="1:5" s="15" customFormat="1" ht="12.95" customHeight="1">
      <c r="A668" s="25" t="s">
        <v>3367</v>
      </c>
      <c r="B668" s="25"/>
      <c r="C668" s="25" t="s">
        <v>3368</v>
      </c>
      <c r="D668" s="25"/>
      <c r="E668" s="25"/>
    </row>
    <row r="669" spans="1:5" s="15" customFormat="1" ht="12.95" customHeight="1">
      <c r="A669" s="25" t="s">
        <v>3369</v>
      </c>
      <c r="B669" s="25"/>
      <c r="C669" s="25" t="s">
        <v>3370</v>
      </c>
      <c r="D669" s="25"/>
      <c r="E669" s="25"/>
    </row>
    <row r="670" spans="1:5" s="15" customFormat="1" ht="12.95" customHeight="1">
      <c r="A670" s="25" t="s">
        <v>3371</v>
      </c>
      <c r="B670" s="25"/>
      <c r="C670" s="25" t="s">
        <v>3372</v>
      </c>
      <c r="D670" s="25"/>
      <c r="E670" s="25"/>
    </row>
    <row r="671" spans="1:5" s="15" customFormat="1" ht="12.95" customHeight="1">
      <c r="A671" s="25" t="s">
        <v>3373</v>
      </c>
      <c r="B671" s="25"/>
      <c r="C671" s="25" t="s">
        <v>3374</v>
      </c>
      <c r="D671" s="25"/>
      <c r="E671" s="25"/>
    </row>
    <row r="672" spans="1:5" s="15" customFormat="1" ht="12.95" customHeight="1">
      <c r="A672" s="25" t="s">
        <v>3375</v>
      </c>
      <c r="B672" s="25"/>
      <c r="C672" s="25" t="s">
        <v>3376</v>
      </c>
      <c r="D672" s="25"/>
      <c r="E672" s="25"/>
    </row>
    <row r="673" spans="1:5" s="15" customFormat="1" ht="12.95" customHeight="1">
      <c r="A673" s="25" t="s">
        <v>3377</v>
      </c>
      <c r="B673" s="25"/>
      <c r="C673" s="25" t="s">
        <v>3378</v>
      </c>
      <c r="D673" s="25"/>
      <c r="E673" s="25"/>
    </row>
    <row r="674" spans="1:5" s="15" customFormat="1" ht="12.95" customHeight="1">
      <c r="A674" s="25" t="s">
        <v>3379</v>
      </c>
      <c r="B674" s="25"/>
      <c r="C674" s="25" t="s">
        <v>3380</v>
      </c>
      <c r="D674" s="25"/>
      <c r="E674" s="25"/>
    </row>
    <row r="675" spans="1:5" s="15" customFormat="1" ht="12.95" customHeight="1">
      <c r="A675" s="25" t="s">
        <v>3381</v>
      </c>
      <c r="B675" s="25"/>
      <c r="C675" s="25" t="s">
        <v>3382</v>
      </c>
      <c r="D675" s="25"/>
      <c r="E675" s="25"/>
    </row>
    <row r="676" spans="1:5" s="15" customFormat="1" ht="12.95" customHeight="1">
      <c r="A676" s="25" t="s">
        <v>3383</v>
      </c>
      <c r="B676" s="25"/>
      <c r="C676" s="25" t="s">
        <v>3384</v>
      </c>
      <c r="D676" s="25"/>
      <c r="E676" s="25"/>
    </row>
    <row r="677" spans="1:5" s="15" customFormat="1" ht="12.95" customHeight="1">
      <c r="A677" s="25" t="s">
        <v>3385</v>
      </c>
      <c r="B677" s="25"/>
      <c r="C677" s="25" t="s">
        <v>3386</v>
      </c>
      <c r="D677" s="25"/>
      <c r="E677" s="25"/>
    </row>
    <row r="678" spans="1:5" s="15" customFormat="1" ht="12.95" customHeight="1">
      <c r="A678" s="25" t="s">
        <v>3387</v>
      </c>
      <c r="B678" s="25"/>
      <c r="C678" s="25" t="s">
        <v>3388</v>
      </c>
      <c r="D678" s="25"/>
      <c r="E678" s="25"/>
    </row>
    <row r="679" spans="1:5" s="15" customFormat="1" ht="12.95" customHeight="1">
      <c r="A679" s="25" t="s">
        <v>3389</v>
      </c>
      <c r="B679" s="25"/>
      <c r="C679" s="25" t="s">
        <v>3390</v>
      </c>
      <c r="D679" s="25"/>
      <c r="E679" s="25"/>
    </row>
    <row r="680" spans="1:5" s="15" customFormat="1" ht="12.95" customHeight="1">
      <c r="A680" s="25" t="s">
        <v>3391</v>
      </c>
      <c r="B680" s="25"/>
      <c r="C680" s="25" t="s">
        <v>3392</v>
      </c>
      <c r="D680" s="25"/>
      <c r="E680" s="25"/>
    </row>
    <row r="681" spans="1:5" s="15" customFormat="1" ht="12.95" customHeight="1">
      <c r="A681" s="25" t="s">
        <v>3393</v>
      </c>
      <c r="B681" s="25"/>
      <c r="C681" s="25" t="s">
        <v>3394</v>
      </c>
      <c r="D681" s="25"/>
      <c r="E681" s="25"/>
    </row>
    <row r="682" spans="1:5" s="15" customFormat="1" ht="12.95" customHeight="1">
      <c r="A682" s="25" t="s">
        <v>3395</v>
      </c>
      <c r="B682" s="25"/>
      <c r="C682" s="25" t="s">
        <v>3396</v>
      </c>
      <c r="D682" s="25"/>
      <c r="E682" s="25"/>
    </row>
    <row r="683" spans="1:5" s="15" customFormat="1" ht="12.95" customHeight="1">
      <c r="A683" s="25" t="s">
        <v>3397</v>
      </c>
      <c r="B683" s="25"/>
      <c r="C683" s="25" t="s">
        <v>3398</v>
      </c>
      <c r="D683" s="25"/>
      <c r="E683" s="25"/>
    </row>
    <row r="684" spans="1:5" s="15" customFormat="1" ht="12.95" customHeight="1">
      <c r="A684" s="25" t="s">
        <v>3399</v>
      </c>
      <c r="B684" s="25"/>
      <c r="C684" s="25" t="s">
        <v>3400</v>
      </c>
      <c r="D684" s="25"/>
      <c r="E684" s="25"/>
    </row>
    <row r="685" spans="1:5" s="15" customFormat="1" ht="12.95" customHeight="1">
      <c r="A685" s="25" t="s">
        <v>3401</v>
      </c>
      <c r="B685" s="25"/>
      <c r="C685" s="25" t="s">
        <v>3402</v>
      </c>
      <c r="D685" s="25"/>
      <c r="E685" s="25"/>
    </row>
    <row r="686" spans="1:5" s="15" customFormat="1" ht="12.95" customHeight="1">
      <c r="A686" s="25" t="s">
        <v>3403</v>
      </c>
      <c r="B686" s="25"/>
      <c r="C686" s="25" t="s">
        <v>3404</v>
      </c>
      <c r="D686" s="25"/>
      <c r="E686" s="25"/>
    </row>
    <row r="687" spans="1:5" s="15" customFormat="1" ht="12.95" customHeight="1">
      <c r="A687" s="25" t="s">
        <v>3405</v>
      </c>
      <c r="B687" s="25"/>
      <c r="C687" s="25" t="s">
        <v>3406</v>
      </c>
      <c r="D687" s="25"/>
      <c r="E687" s="25"/>
    </row>
    <row r="688" spans="1:5" s="15" customFormat="1" ht="12.95" customHeight="1">
      <c r="A688" s="25" t="s">
        <v>3407</v>
      </c>
      <c r="B688" s="25"/>
      <c r="C688" s="25" t="s">
        <v>3408</v>
      </c>
      <c r="D688" s="25"/>
      <c r="E688" s="25"/>
    </row>
    <row r="689" spans="1:5" s="15" customFormat="1" ht="12.95" customHeight="1">
      <c r="A689" s="25" t="s">
        <v>3409</v>
      </c>
      <c r="B689" s="25"/>
      <c r="C689" s="25" t="s">
        <v>3410</v>
      </c>
      <c r="D689" s="25"/>
      <c r="E689" s="25"/>
    </row>
    <row r="690" spans="1:5" s="15" customFormat="1" ht="12.95" customHeight="1">
      <c r="A690" s="25" t="s">
        <v>3411</v>
      </c>
      <c r="B690" s="25"/>
      <c r="C690" s="25" t="s">
        <v>3412</v>
      </c>
      <c r="D690" s="25"/>
      <c r="E690" s="25"/>
    </row>
    <row r="691" spans="1:5" s="15" customFormat="1" ht="12.95" customHeight="1">
      <c r="A691" s="25" t="s">
        <v>3413</v>
      </c>
      <c r="B691" s="25"/>
      <c r="C691" s="25" t="s">
        <v>3414</v>
      </c>
      <c r="D691" s="25"/>
      <c r="E691" s="25"/>
    </row>
    <row r="692" spans="1:5" s="15" customFormat="1" ht="12.95" customHeight="1">
      <c r="A692" s="25" t="s">
        <v>3415</v>
      </c>
      <c r="B692" s="25"/>
      <c r="C692" s="25" t="s">
        <v>3416</v>
      </c>
      <c r="D692" s="25"/>
      <c r="E692" s="25"/>
    </row>
    <row r="693" spans="1:5" s="15" customFormat="1" ht="12.95" customHeight="1">
      <c r="A693" s="25" t="s">
        <v>3417</v>
      </c>
      <c r="B693" s="25"/>
      <c r="C693" s="25" t="s">
        <v>3418</v>
      </c>
      <c r="D693" s="25"/>
      <c r="E693" s="25"/>
    </row>
    <row r="694" spans="1:5" s="15" customFormat="1" ht="12.95" customHeight="1">
      <c r="A694" s="25" t="s">
        <v>3419</v>
      </c>
      <c r="B694" s="25"/>
      <c r="C694" s="25" t="s">
        <v>3420</v>
      </c>
      <c r="D694" s="25"/>
      <c r="E694" s="25"/>
    </row>
    <row r="695" spans="1:5" s="15" customFormat="1" ht="12.95" customHeight="1">
      <c r="A695" s="25" t="s">
        <v>3421</v>
      </c>
      <c r="B695" s="25"/>
      <c r="C695" s="25" t="s">
        <v>3422</v>
      </c>
      <c r="D695" s="25"/>
      <c r="E695" s="25"/>
    </row>
    <row r="696" spans="1:5" s="15" customFormat="1" ht="12.95" customHeight="1">
      <c r="A696" s="25" t="s">
        <v>3423</v>
      </c>
      <c r="B696" s="25"/>
      <c r="C696" s="25" t="s">
        <v>3424</v>
      </c>
      <c r="D696" s="25"/>
      <c r="E696" s="25"/>
    </row>
    <row r="697" spans="1:5" s="15" customFormat="1" ht="12.95" customHeight="1">
      <c r="A697" s="25" t="s">
        <v>3425</v>
      </c>
      <c r="B697" s="25"/>
      <c r="C697" s="25" t="s">
        <v>3426</v>
      </c>
      <c r="D697" s="25"/>
      <c r="E697" s="25"/>
    </row>
    <row r="698" spans="1:5" s="15" customFormat="1" ht="12.95" customHeight="1">
      <c r="A698" s="25" t="s">
        <v>3427</v>
      </c>
      <c r="B698" s="25"/>
      <c r="C698" s="25" t="s">
        <v>3428</v>
      </c>
      <c r="D698" s="25"/>
      <c r="E698" s="25"/>
    </row>
    <row r="699" spans="1:5" s="15" customFormat="1" ht="12.95" customHeight="1">
      <c r="A699" s="25" t="s">
        <v>3429</v>
      </c>
      <c r="B699" s="25"/>
      <c r="C699" s="25" t="s">
        <v>3430</v>
      </c>
      <c r="D699" s="25"/>
      <c r="E699" s="25"/>
    </row>
    <row r="700" spans="1:5" s="15" customFormat="1" ht="12.95" customHeight="1">
      <c r="A700" s="25" t="s">
        <v>3431</v>
      </c>
      <c r="B700" s="25"/>
      <c r="C700" s="25" t="s">
        <v>3432</v>
      </c>
      <c r="D700" s="25"/>
      <c r="E700" s="25"/>
    </row>
    <row r="701" spans="1:5" s="15" customFormat="1" ht="12.95" customHeight="1">
      <c r="A701" s="25" t="s">
        <v>3433</v>
      </c>
      <c r="B701" s="25"/>
      <c r="C701" s="25" t="s">
        <v>3434</v>
      </c>
      <c r="D701" s="25"/>
      <c r="E701" s="25"/>
    </row>
    <row r="702" spans="1:5" s="15" customFormat="1" ht="12.95" customHeight="1">
      <c r="A702" s="25" t="s">
        <v>3435</v>
      </c>
      <c r="B702" s="25"/>
      <c r="C702" s="25" t="s">
        <v>3436</v>
      </c>
      <c r="D702" s="25"/>
      <c r="E702" s="25"/>
    </row>
    <row r="703" spans="1:5" s="15" customFormat="1" ht="12.95" customHeight="1">
      <c r="A703" s="25" t="s">
        <v>3437</v>
      </c>
      <c r="B703" s="25"/>
      <c r="C703" s="25" t="s">
        <v>3438</v>
      </c>
      <c r="D703" s="25"/>
      <c r="E703" s="25"/>
    </row>
    <row r="704" spans="1:5" s="15" customFormat="1" ht="12.95" customHeight="1">
      <c r="A704" s="25" t="s">
        <v>3439</v>
      </c>
      <c r="B704" s="25"/>
      <c r="C704" s="25" t="s">
        <v>3440</v>
      </c>
      <c r="D704" s="25"/>
      <c r="E704" s="25"/>
    </row>
    <row r="705" spans="1:5" s="15" customFormat="1" ht="12.95" customHeight="1">
      <c r="A705" s="25" t="s">
        <v>3441</v>
      </c>
      <c r="B705" s="25"/>
      <c r="C705" s="25" t="s">
        <v>3442</v>
      </c>
      <c r="D705" s="25"/>
      <c r="E705" s="25"/>
    </row>
    <row r="706" spans="1:5" s="15" customFormat="1" ht="12.95" customHeight="1">
      <c r="A706" s="25" t="s">
        <v>3443</v>
      </c>
      <c r="B706" s="25"/>
      <c r="C706" s="25" t="s">
        <v>3442</v>
      </c>
      <c r="D706" s="25"/>
      <c r="E706" s="25"/>
    </row>
    <row r="707" spans="1:5" s="15" customFormat="1" ht="12.95" customHeight="1">
      <c r="A707" s="25" t="s">
        <v>3444</v>
      </c>
      <c r="B707" s="25"/>
      <c r="C707" s="25" t="s">
        <v>3445</v>
      </c>
      <c r="D707" s="25"/>
      <c r="E707" s="25"/>
    </row>
    <row r="708" spans="1:5" s="15" customFormat="1" ht="12.95" customHeight="1">
      <c r="A708" s="25" t="s">
        <v>3446</v>
      </c>
      <c r="B708" s="25"/>
      <c r="C708" s="25" t="s">
        <v>3447</v>
      </c>
      <c r="D708" s="25"/>
      <c r="E708" s="25"/>
    </row>
    <row r="709" spans="1:5" s="15" customFormat="1" ht="12.95" customHeight="1">
      <c r="A709" s="25" t="s">
        <v>3446</v>
      </c>
      <c r="B709" s="25"/>
      <c r="C709" s="25" t="s">
        <v>3447</v>
      </c>
      <c r="D709" s="25"/>
      <c r="E709" s="25"/>
    </row>
    <row r="710" spans="1:5" s="15" customFormat="1" ht="12.95" customHeight="1">
      <c r="A710" s="25" t="s">
        <v>3448</v>
      </c>
      <c r="B710" s="25"/>
      <c r="C710" s="25" t="s">
        <v>3449</v>
      </c>
      <c r="D710" s="25"/>
      <c r="E710" s="25"/>
    </row>
    <row r="711" spans="1:5" s="15" customFormat="1" ht="12.95" customHeight="1">
      <c r="A711" s="25" t="s">
        <v>3450</v>
      </c>
      <c r="B711" s="25"/>
      <c r="C711" s="25" t="s">
        <v>3451</v>
      </c>
      <c r="D711" s="25"/>
      <c r="E711" s="25"/>
    </row>
    <row r="712" spans="1:5" s="15" customFormat="1" ht="12.95" customHeight="1">
      <c r="A712" s="25" t="s">
        <v>2402</v>
      </c>
      <c r="B712" s="25"/>
      <c r="C712" s="25" t="s">
        <v>3452</v>
      </c>
      <c r="D712" s="25"/>
      <c r="E712" s="25"/>
    </row>
    <row r="713" spans="1:5" s="15" customFormat="1" ht="12.95" customHeight="1">
      <c r="A713" s="25" t="s">
        <v>2288</v>
      </c>
      <c r="B713" s="25"/>
      <c r="C713" s="25" t="s">
        <v>3453</v>
      </c>
      <c r="D713" s="25"/>
      <c r="E713" s="25"/>
    </row>
    <row r="714" spans="1:5" s="15" customFormat="1" ht="12.95" customHeight="1">
      <c r="A714" s="25" t="s">
        <v>3454</v>
      </c>
      <c r="B714" s="25"/>
      <c r="C714" s="25" t="s">
        <v>3455</v>
      </c>
      <c r="D714" s="25"/>
      <c r="E714" s="25"/>
    </row>
    <row r="715" spans="1:5" s="15" customFormat="1" ht="12.95" customHeight="1">
      <c r="A715" s="25" t="s">
        <v>753</v>
      </c>
      <c r="B715" s="25"/>
      <c r="C715" s="25" t="s">
        <v>3456</v>
      </c>
      <c r="D715" s="25"/>
      <c r="E715" s="25"/>
    </row>
    <row r="716" spans="1:5" s="15" customFormat="1" ht="12.95" customHeight="1">
      <c r="A716" s="25" t="s">
        <v>140</v>
      </c>
      <c r="B716" s="25"/>
      <c r="C716" s="25" t="s">
        <v>3457</v>
      </c>
      <c r="D716" s="25"/>
      <c r="E716" s="25"/>
    </row>
    <row r="717" spans="1:5" s="15" customFormat="1" ht="12.95" customHeight="1">
      <c r="A717" s="25" t="s">
        <v>3458</v>
      </c>
      <c r="B717" s="25"/>
      <c r="C717" s="25" t="s">
        <v>3459</v>
      </c>
      <c r="D717" s="25"/>
      <c r="E717" s="25"/>
    </row>
    <row r="718" spans="1:5" s="15" customFormat="1" ht="12.95" customHeight="1">
      <c r="A718" s="25" t="s">
        <v>3460</v>
      </c>
      <c r="B718" s="25"/>
      <c r="C718" s="25" t="s">
        <v>3461</v>
      </c>
      <c r="D718" s="25"/>
      <c r="E718" s="25"/>
    </row>
    <row r="719" spans="1:5" s="15" customFormat="1" ht="12.95" customHeight="1">
      <c r="A719" s="25" t="s">
        <v>1679</v>
      </c>
      <c r="B719" s="25"/>
      <c r="C719" s="25" t="s">
        <v>3005</v>
      </c>
      <c r="D719" s="25"/>
      <c r="E719" s="25"/>
    </row>
    <row r="720" spans="1:5" s="15" customFormat="1" ht="12.95" customHeight="1">
      <c r="A720" s="25" t="s">
        <v>1192</v>
      </c>
      <c r="B720" s="25"/>
      <c r="C720" s="25" t="s">
        <v>3462</v>
      </c>
      <c r="D720" s="25"/>
      <c r="E720" s="25"/>
    </row>
    <row r="721" spans="1:5" s="15" customFormat="1" ht="12.95" customHeight="1">
      <c r="A721" s="25" t="s">
        <v>3463</v>
      </c>
      <c r="B721" s="25"/>
      <c r="C721" s="25" t="s">
        <v>3464</v>
      </c>
      <c r="D721" s="25"/>
      <c r="E721" s="25"/>
    </row>
    <row r="722" spans="1:5" s="15" customFormat="1" ht="12.95" customHeight="1">
      <c r="A722" s="25" t="s">
        <v>3465</v>
      </c>
      <c r="B722" s="25"/>
      <c r="C722" s="25" t="s">
        <v>3466</v>
      </c>
      <c r="D722" s="25"/>
      <c r="E722" s="25"/>
    </row>
    <row r="723" spans="1:5" s="15" customFormat="1" ht="12.95" customHeight="1">
      <c r="A723" s="25" t="s">
        <v>3467</v>
      </c>
      <c r="B723" s="25"/>
      <c r="C723" s="25" t="s">
        <v>3468</v>
      </c>
      <c r="D723" s="25"/>
      <c r="E723" s="25"/>
    </row>
    <row r="724" spans="1:5" s="15" customFormat="1" ht="12.95" customHeight="1">
      <c r="A724" s="25" t="s">
        <v>905</v>
      </c>
      <c r="B724" s="25"/>
      <c r="C724" s="25" t="s">
        <v>3469</v>
      </c>
      <c r="D724" s="25"/>
      <c r="E724" s="25"/>
    </row>
    <row r="725" spans="1:5" s="15" customFormat="1" ht="12.95" customHeight="1">
      <c r="A725" s="25" t="s">
        <v>353</v>
      </c>
      <c r="B725" s="25"/>
      <c r="C725" s="25" t="s">
        <v>3470</v>
      </c>
      <c r="D725" s="25"/>
      <c r="E725" s="25"/>
    </row>
    <row r="726" spans="1:5" s="15" customFormat="1" ht="12.95" customHeight="1">
      <c r="A726" s="25" t="s">
        <v>3471</v>
      </c>
      <c r="B726" s="25"/>
      <c r="C726" s="25" t="s">
        <v>3472</v>
      </c>
      <c r="D726" s="25"/>
      <c r="E726" s="25"/>
    </row>
    <row r="727" spans="1:5" s="15" customFormat="1" ht="12.95" customHeight="1">
      <c r="A727" s="25" t="s">
        <v>2219</v>
      </c>
      <c r="B727" s="25"/>
      <c r="C727" s="25" t="s">
        <v>3005</v>
      </c>
      <c r="D727" s="25"/>
      <c r="E727" s="25"/>
    </row>
    <row r="728" spans="1:5" s="15" customFormat="1" ht="12.95" customHeight="1">
      <c r="A728" s="25" t="s">
        <v>3473</v>
      </c>
      <c r="B728" s="25"/>
      <c r="C728" s="25" t="s">
        <v>3462</v>
      </c>
      <c r="D728" s="25"/>
      <c r="E728" s="25"/>
    </row>
    <row r="729" spans="1:5" s="15" customFormat="1" ht="12.95" customHeight="1">
      <c r="A729" s="25" t="s">
        <v>3474</v>
      </c>
      <c r="B729" s="25"/>
      <c r="C729" s="25" t="s">
        <v>3464</v>
      </c>
      <c r="D729" s="25"/>
      <c r="E729" s="25"/>
    </row>
    <row r="730" spans="1:5" s="15" customFormat="1" ht="12.95" customHeight="1">
      <c r="A730" s="25" t="s">
        <v>3475</v>
      </c>
      <c r="B730" s="25"/>
      <c r="C730" s="25" t="s">
        <v>3466</v>
      </c>
      <c r="D730" s="25"/>
      <c r="E730" s="25"/>
    </row>
    <row r="731" spans="1:5" s="15" customFormat="1" ht="12.95" customHeight="1">
      <c r="A731" s="25" t="s">
        <v>3476</v>
      </c>
      <c r="B731" s="25"/>
      <c r="C731" s="25" t="s">
        <v>3468</v>
      </c>
      <c r="D731" s="25"/>
      <c r="E731" s="25"/>
    </row>
    <row r="732" spans="1:5" s="15" customFormat="1" ht="12.95" customHeight="1">
      <c r="A732" s="25" t="s">
        <v>3477</v>
      </c>
      <c r="B732" s="25"/>
      <c r="C732" s="25" t="s">
        <v>3469</v>
      </c>
      <c r="D732" s="25"/>
      <c r="E732" s="25"/>
    </row>
    <row r="733" spans="1:5" s="15" customFormat="1" ht="12.95" customHeight="1">
      <c r="A733" s="25" t="s">
        <v>2141</v>
      </c>
      <c r="B733" s="25"/>
      <c r="C733" s="25" t="s">
        <v>3470</v>
      </c>
      <c r="D733" s="25"/>
      <c r="E733" s="25"/>
    </row>
    <row r="734" spans="1:5" s="15" customFormat="1" ht="12.95" customHeight="1">
      <c r="A734" s="25" t="s">
        <v>3478</v>
      </c>
      <c r="B734" s="25"/>
      <c r="C734" s="25" t="s">
        <v>3479</v>
      </c>
      <c r="D734" s="25"/>
      <c r="E734" s="25"/>
    </row>
    <row r="735" spans="1:5" s="15" customFormat="1" ht="12.95" customHeight="1">
      <c r="A735" s="25" t="s">
        <v>3480</v>
      </c>
      <c r="B735" s="25"/>
      <c r="C735" s="25" t="s">
        <v>3481</v>
      </c>
      <c r="D735" s="25"/>
      <c r="E735" s="25"/>
    </row>
    <row r="736" spans="1:5" s="15" customFormat="1" ht="12.95" customHeight="1">
      <c r="A736" s="25" t="s">
        <v>3482</v>
      </c>
      <c r="B736" s="25"/>
      <c r="C736" s="25" t="s">
        <v>3483</v>
      </c>
      <c r="D736" s="25"/>
      <c r="E736" s="25"/>
    </row>
    <row r="737" spans="1:5" s="15" customFormat="1" ht="12.95" customHeight="1">
      <c r="A737" s="25" t="s">
        <v>3484</v>
      </c>
      <c r="B737" s="25"/>
      <c r="C737" s="25" t="s">
        <v>3485</v>
      </c>
      <c r="D737" s="25"/>
      <c r="E737" s="25"/>
    </row>
    <row r="738" spans="1:5" s="15" customFormat="1" ht="12.95" customHeight="1">
      <c r="A738" s="25" t="s">
        <v>3486</v>
      </c>
      <c r="B738" s="25"/>
      <c r="C738" s="25" t="s">
        <v>3005</v>
      </c>
      <c r="D738" s="25"/>
      <c r="E738" s="25"/>
    </row>
    <row r="739" spans="1:5" s="15" customFormat="1" ht="12.95" customHeight="1">
      <c r="A739" s="25" t="s">
        <v>3487</v>
      </c>
      <c r="B739" s="25"/>
      <c r="C739" s="25" t="s">
        <v>3488</v>
      </c>
      <c r="D739" s="25"/>
      <c r="E739" s="25"/>
    </row>
    <row r="740" spans="1:5" s="15" customFormat="1" ht="12.95" customHeight="1">
      <c r="A740" s="25" t="s">
        <v>3489</v>
      </c>
      <c r="B740" s="25"/>
      <c r="C740" s="25" t="s">
        <v>3490</v>
      </c>
      <c r="D740" s="25"/>
      <c r="E740" s="25"/>
    </row>
    <row r="741" spans="1:5" s="15" customFormat="1" ht="12.95" customHeight="1">
      <c r="A741" s="25" t="s">
        <v>3491</v>
      </c>
      <c r="B741" s="25"/>
      <c r="C741" s="25" t="s">
        <v>3492</v>
      </c>
      <c r="D741" s="25"/>
      <c r="E741" s="25"/>
    </row>
    <row r="742" spans="1:5" s="15" customFormat="1" ht="12.95" customHeight="1">
      <c r="A742" s="25" t="s">
        <v>3493</v>
      </c>
      <c r="B742" s="25"/>
      <c r="C742" s="25" t="s">
        <v>3490</v>
      </c>
      <c r="D742" s="25"/>
      <c r="E742" s="25"/>
    </row>
    <row r="743" spans="1:5" s="15" customFormat="1" ht="12.95" customHeight="1">
      <c r="A743" s="25" t="s">
        <v>3494</v>
      </c>
      <c r="B743" s="25"/>
      <c r="C743" s="25" t="s">
        <v>3495</v>
      </c>
      <c r="D743" s="25"/>
      <c r="E743" s="25"/>
    </row>
    <row r="744" spans="1:5" s="15" customFormat="1" ht="12.95" customHeight="1">
      <c r="A744" s="25" t="s">
        <v>3496</v>
      </c>
      <c r="B744" s="25"/>
      <c r="C744" s="25" t="s">
        <v>3492</v>
      </c>
      <c r="D744" s="25"/>
      <c r="E744" s="25"/>
    </row>
    <row r="745" spans="1:5" s="15" customFormat="1" ht="12.95" customHeight="1">
      <c r="A745" s="25" t="s">
        <v>3497</v>
      </c>
      <c r="B745" s="25"/>
      <c r="C745" s="25" t="s">
        <v>3490</v>
      </c>
      <c r="D745" s="25"/>
      <c r="E745" s="25"/>
    </row>
    <row r="746" spans="1:5" s="15" customFormat="1" ht="12.95" customHeight="1">
      <c r="A746" s="25" t="s">
        <v>3498</v>
      </c>
      <c r="B746" s="25"/>
      <c r="C746" s="25" t="s">
        <v>3495</v>
      </c>
      <c r="D746" s="25"/>
      <c r="E746" s="25"/>
    </row>
    <row r="747" spans="1:5" s="15" customFormat="1" ht="12.95" customHeight="1">
      <c r="A747" s="25" t="s">
        <v>3499</v>
      </c>
      <c r="B747" s="25"/>
      <c r="C747" s="25" t="s">
        <v>3500</v>
      </c>
      <c r="D747" s="25"/>
      <c r="E747" s="25"/>
    </row>
    <row r="748" spans="1:5" s="15" customFormat="1" ht="12.95" customHeight="1">
      <c r="A748" s="25" t="s">
        <v>3501</v>
      </c>
      <c r="B748" s="25"/>
      <c r="C748" s="25" t="s">
        <v>3502</v>
      </c>
      <c r="D748" s="25"/>
      <c r="E748" s="25"/>
    </row>
    <row r="749" spans="1:5" s="15" customFormat="1" ht="12.95" customHeight="1">
      <c r="A749" s="25" t="s">
        <v>3503</v>
      </c>
      <c r="B749" s="25"/>
      <c r="C749" s="25" t="s">
        <v>3504</v>
      </c>
      <c r="D749" s="25"/>
      <c r="E749" s="25"/>
    </row>
    <row r="750" spans="1:5" s="15" customFormat="1" ht="12.95" customHeight="1">
      <c r="A750" s="25" t="s">
        <v>3505</v>
      </c>
      <c r="B750" s="25"/>
      <c r="C750" s="25" t="s">
        <v>3506</v>
      </c>
      <c r="D750" s="25"/>
      <c r="E750" s="25"/>
    </row>
    <row r="751" spans="1:5" s="15" customFormat="1" ht="12.95" customHeight="1">
      <c r="A751" s="25" t="s">
        <v>3507</v>
      </c>
      <c r="B751" s="25"/>
      <c r="C751" s="25" t="s">
        <v>3506</v>
      </c>
      <c r="D751" s="25"/>
      <c r="E751" s="25"/>
    </row>
    <row r="752" spans="1:5" s="15" customFormat="1" ht="12.95" customHeight="1">
      <c r="A752" s="25" t="s">
        <v>3508</v>
      </c>
      <c r="B752" s="25"/>
      <c r="C752" s="25" t="s">
        <v>3509</v>
      </c>
      <c r="D752" s="25"/>
      <c r="E752" s="25"/>
    </row>
    <row r="753" spans="1:5" s="15" customFormat="1" ht="12.95" customHeight="1">
      <c r="A753" s="25" t="s">
        <v>3510</v>
      </c>
      <c r="B753" s="25"/>
      <c r="C753" s="25" t="s">
        <v>3504</v>
      </c>
      <c r="D753" s="25"/>
      <c r="E753" s="25"/>
    </row>
    <row r="754" spans="1:5" s="15" customFormat="1" ht="12.95" customHeight="1">
      <c r="A754" s="25" t="s">
        <v>3511</v>
      </c>
      <c r="B754" s="25"/>
      <c r="C754" s="25" t="s">
        <v>3512</v>
      </c>
      <c r="D754" s="25"/>
      <c r="E754" s="25"/>
    </row>
    <row r="755" spans="1:5" s="15" customFormat="1" ht="12.95" customHeight="1">
      <c r="A755" s="25" t="s">
        <v>3513</v>
      </c>
      <c r="B755" s="25"/>
      <c r="C755" s="25" t="s">
        <v>3506</v>
      </c>
      <c r="D755" s="25"/>
      <c r="E755" s="25"/>
    </row>
    <row r="756" spans="1:5" s="15" customFormat="1" ht="12.95" customHeight="1">
      <c r="A756" s="25" t="s">
        <v>3514</v>
      </c>
      <c r="B756" s="25"/>
      <c r="C756" s="25" t="s">
        <v>3515</v>
      </c>
      <c r="D756" s="25"/>
      <c r="E756" s="25"/>
    </row>
    <row r="757" spans="1:5" s="15" customFormat="1" ht="12.95" customHeight="1">
      <c r="A757" s="25" t="s">
        <v>3516</v>
      </c>
      <c r="B757" s="25"/>
      <c r="C757" s="25" t="s">
        <v>3517</v>
      </c>
      <c r="D757" s="25"/>
      <c r="E757" s="25"/>
    </row>
    <row r="758" spans="1:5" s="15" customFormat="1" ht="12.95" customHeight="1">
      <c r="A758" s="25" t="s">
        <v>3518</v>
      </c>
      <c r="B758" s="25"/>
      <c r="C758" s="25" t="s">
        <v>3519</v>
      </c>
      <c r="D758" s="25"/>
      <c r="E758" s="25"/>
    </row>
    <row r="759" spans="1:5" s="15" customFormat="1" ht="12.95" customHeight="1">
      <c r="A759" s="25" t="s">
        <v>3520</v>
      </c>
      <c r="B759" s="25"/>
      <c r="C759" s="25" t="s">
        <v>3521</v>
      </c>
      <c r="D759" s="25"/>
      <c r="E759" s="25"/>
    </row>
    <row r="760" spans="1:5" s="15" customFormat="1" ht="12.95" customHeight="1">
      <c r="A760" s="25" t="s">
        <v>3522</v>
      </c>
      <c r="B760" s="25"/>
      <c r="C760" s="25" t="s">
        <v>3523</v>
      </c>
      <c r="D760" s="25"/>
      <c r="E760" s="25"/>
    </row>
    <row r="761" spans="1:5" s="15" customFormat="1" ht="12.95" customHeight="1">
      <c r="A761" s="25" t="s">
        <v>3524</v>
      </c>
      <c r="B761" s="25"/>
      <c r="C761" s="25" t="s">
        <v>3525</v>
      </c>
      <c r="D761" s="25"/>
      <c r="E761" s="25"/>
    </row>
    <row r="762" spans="1:5" s="15" customFormat="1" ht="12.95" customHeight="1">
      <c r="A762" s="25" t="s">
        <v>3526</v>
      </c>
      <c r="B762" s="25"/>
      <c r="C762" s="25" t="s">
        <v>3527</v>
      </c>
      <c r="D762" s="25"/>
      <c r="E762" s="25"/>
    </row>
    <row r="763" spans="1:5" s="15" customFormat="1" ht="12.95" customHeight="1">
      <c r="A763" s="25" t="s">
        <v>3528</v>
      </c>
      <c r="B763" s="25"/>
      <c r="C763" s="25" t="s">
        <v>3517</v>
      </c>
      <c r="D763" s="25"/>
      <c r="E763" s="25"/>
    </row>
    <row r="764" spans="1:5" s="15" customFormat="1" ht="12.95" customHeight="1">
      <c r="A764" s="25" t="s">
        <v>3529</v>
      </c>
      <c r="B764" s="25"/>
      <c r="C764" s="25" t="s">
        <v>3519</v>
      </c>
      <c r="D764" s="25"/>
      <c r="E764" s="25"/>
    </row>
    <row r="765" spans="1:5" s="15" customFormat="1" ht="12.95" customHeight="1">
      <c r="A765" s="25" t="s">
        <v>3530</v>
      </c>
      <c r="B765" s="25"/>
      <c r="C765" s="25" t="s">
        <v>3521</v>
      </c>
      <c r="D765" s="25"/>
      <c r="E765" s="25"/>
    </row>
    <row r="766" spans="1:5" s="15" customFormat="1" ht="12.95" customHeight="1">
      <c r="A766" s="25" t="s">
        <v>3531</v>
      </c>
      <c r="B766" s="25"/>
      <c r="C766" s="25" t="s">
        <v>3523</v>
      </c>
      <c r="D766" s="25"/>
      <c r="E766" s="25"/>
    </row>
    <row r="767" spans="1:5" s="15" customFormat="1" ht="12.95" customHeight="1">
      <c r="A767" s="25" t="s">
        <v>3532</v>
      </c>
      <c r="B767" s="25"/>
      <c r="C767" s="25" t="s">
        <v>3525</v>
      </c>
      <c r="D767" s="25"/>
      <c r="E767" s="25"/>
    </row>
    <row r="768" spans="1:5" s="15" customFormat="1" ht="12.95" customHeight="1">
      <c r="A768" s="25" t="s">
        <v>3533</v>
      </c>
      <c r="B768" s="25"/>
      <c r="C768" s="25" t="s">
        <v>3534</v>
      </c>
      <c r="D768" s="25"/>
      <c r="E768" s="25"/>
    </row>
    <row r="769" spans="1:5" s="15" customFormat="1" ht="12.95" customHeight="1">
      <c r="A769" s="25" t="s">
        <v>3535</v>
      </c>
      <c r="B769" s="25"/>
      <c r="C769" s="25" t="s">
        <v>3536</v>
      </c>
      <c r="D769" s="25"/>
      <c r="E769" s="25"/>
    </row>
    <row r="770" spans="1:5" s="15" customFormat="1" ht="12.95" customHeight="1">
      <c r="A770" s="25" t="s">
        <v>3537</v>
      </c>
      <c r="B770" s="25"/>
      <c r="C770" s="25" t="s">
        <v>3538</v>
      </c>
      <c r="D770" s="25"/>
      <c r="E770" s="25"/>
    </row>
    <row r="771" spans="1:5" s="15" customFormat="1" ht="12.95" customHeight="1">
      <c r="A771" s="25" t="s">
        <v>3539</v>
      </c>
      <c r="B771" s="25"/>
      <c r="C771" s="25" t="s">
        <v>3540</v>
      </c>
      <c r="D771" s="25"/>
      <c r="E771" s="25"/>
    </row>
    <row r="772" spans="1:5" s="15" customFormat="1" ht="12.95" customHeight="1">
      <c r="A772" s="25" t="s">
        <v>1941</v>
      </c>
      <c r="B772" s="25"/>
      <c r="C772" s="25" t="s">
        <v>3541</v>
      </c>
      <c r="D772" s="25"/>
      <c r="E772" s="25"/>
    </row>
    <row r="773" spans="1:5" s="15" customFormat="1" ht="12.95" customHeight="1">
      <c r="A773" s="25" t="s">
        <v>3542</v>
      </c>
      <c r="B773" s="25"/>
      <c r="C773" s="25" t="s">
        <v>3543</v>
      </c>
      <c r="D773" s="25"/>
      <c r="E773" s="25"/>
    </row>
    <row r="774" spans="1:5" s="15" customFormat="1" ht="12.95" customHeight="1">
      <c r="A774" s="25" t="s">
        <v>3544</v>
      </c>
      <c r="B774" s="25"/>
      <c r="C774" s="25" t="s">
        <v>3540</v>
      </c>
      <c r="D774" s="25"/>
      <c r="E774" s="25"/>
    </row>
    <row r="775" spans="1:5" s="15" customFormat="1" ht="12.95" customHeight="1">
      <c r="A775" s="25" t="s">
        <v>3545</v>
      </c>
      <c r="B775" s="25"/>
      <c r="C775" s="25" t="s">
        <v>3546</v>
      </c>
      <c r="D775" s="25"/>
      <c r="E775" s="25"/>
    </row>
    <row r="776" spans="1:5" s="15" customFormat="1" ht="12.95" customHeight="1">
      <c r="A776" s="25" t="s">
        <v>3547</v>
      </c>
      <c r="B776" s="25"/>
      <c r="C776" s="25" t="s">
        <v>3548</v>
      </c>
      <c r="D776" s="25"/>
      <c r="E776" s="25"/>
    </row>
    <row r="777" spans="1:5" s="15" customFormat="1" ht="12.95" customHeight="1">
      <c r="A777" s="25" t="s">
        <v>2173</v>
      </c>
      <c r="B777" s="25"/>
      <c r="C777" s="25" t="s">
        <v>3541</v>
      </c>
      <c r="D777" s="25"/>
      <c r="E777" s="25"/>
    </row>
    <row r="778" spans="1:5" s="15" customFormat="1" ht="12.95" customHeight="1">
      <c r="A778" s="25" t="s">
        <v>3549</v>
      </c>
      <c r="B778" s="25"/>
      <c r="C778" s="25" t="s">
        <v>3543</v>
      </c>
      <c r="D778" s="25"/>
      <c r="E778" s="25"/>
    </row>
    <row r="779" spans="1:5" s="15" customFormat="1" ht="12.95" customHeight="1">
      <c r="A779" s="25" t="s">
        <v>3550</v>
      </c>
      <c r="B779" s="25"/>
      <c r="C779" s="25" t="s">
        <v>3540</v>
      </c>
      <c r="D779" s="25"/>
      <c r="E779" s="25"/>
    </row>
    <row r="780" spans="1:5" s="15" customFormat="1" ht="12.95" customHeight="1">
      <c r="A780" s="25" t="s">
        <v>3551</v>
      </c>
      <c r="B780" s="25"/>
      <c r="C780" s="25" t="s">
        <v>3546</v>
      </c>
      <c r="D780" s="25"/>
      <c r="E780" s="25"/>
    </row>
    <row r="781" spans="1:5" s="15" customFormat="1" ht="12.95" customHeight="1">
      <c r="A781" s="25" t="s">
        <v>3552</v>
      </c>
      <c r="B781" s="25"/>
      <c r="C781" s="25" t="s">
        <v>3548</v>
      </c>
      <c r="D781" s="25"/>
      <c r="E781" s="25"/>
    </row>
    <row r="782" spans="1:5" s="15" customFormat="1" ht="12.95" customHeight="1">
      <c r="A782" s="25" t="s">
        <v>3553</v>
      </c>
      <c r="B782" s="25"/>
      <c r="C782" s="25" t="s">
        <v>3554</v>
      </c>
      <c r="D782" s="25"/>
      <c r="E782" s="25"/>
    </row>
    <row r="783" spans="1:5" s="15" customFormat="1" ht="12.95" customHeight="1">
      <c r="A783" s="25" t="s">
        <v>3553</v>
      </c>
      <c r="B783" s="25"/>
      <c r="C783" s="25" t="s">
        <v>3554</v>
      </c>
      <c r="D783" s="25"/>
      <c r="E783" s="25"/>
    </row>
    <row r="784" spans="1:5" s="15" customFormat="1" ht="12.95" customHeight="1">
      <c r="A784" s="25" t="s">
        <v>3555</v>
      </c>
      <c r="B784" s="25"/>
      <c r="C784" s="25" t="s">
        <v>3556</v>
      </c>
      <c r="D784" s="25"/>
      <c r="E784" s="25"/>
    </row>
    <row r="785" spans="1:5" s="15" customFormat="1" ht="12.95" customHeight="1">
      <c r="A785" s="25" t="s">
        <v>3557</v>
      </c>
      <c r="B785" s="25"/>
      <c r="C785" s="25" t="s">
        <v>3558</v>
      </c>
      <c r="D785" s="25"/>
      <c r="E785" s="25"/>
    </row>
    <row r="786" spans="1:5" s="15" customFormat="1" ht="12.95" customHeight="1">
      <c r="A786" s="25" t="s">
        <v>3559</v>
      </c>
      <c r="B786" s="25"/>
      <c r="C786" s="25" t="s">
        <v>3560</v>
      </c>
      <c r="D786" s="25"/>
      <c r="E786" s="25"/>
    </row>
    <row r="787" spans="1:5" s="15" customFormat="1" ht="12.95" customHeight="1">
      <c r="A787" s="25" t="s">
        <v>3561</v>
      </c>
      <c r="B787" s="25"/>
      <c r="C787" s="25" t="s">
        <v>3562</v>
      </c>
      <c r="D787" s="25"/>
      <c r="E787" s="25"/>
    </row>
    <row r="788" spans="1:5" s="15" customFormat="1" ht="12.95" customHeight="1">
      <c r="A788" s="25" t="s">
        <v>3563</v>
      </c>
      <c r="B788" s="25"/>
      <c r="C788" s="25" t="s">
        <v>3564</v>
      </c>
      <c r="D788" s="25"/>
      <c r="E788" s="25"/>
    </row>
    <row r="789" spans="1:5" s="15" customFormat="1" ht="12.95" customHeight="1">
      <c r="A789" s="25" t="s">
        <v>3565</v>
      </c>
      <c r="B789" s="25"/>
      <c r="C789" s="25" t="s">
        <v>3566</v>
      </c>
      <c r="D789" s="25"/>
      <c r="E789" s="25"/>
    </row>
    <row r="790" spans="1:5" s="15" customFormat="1" ht="12.95" customHeight="1">
      <c r="A790" s="25" t="s">
        <v>3567</v>
      </c>
      <c r="B790" s="25"/>
      <c r="C790" s="25" t="s">
        <v>3568</v>
      </c>
      <c r="D790" s="25"/>
      <c r="E790" s="25"/>
    </row>
    <row r="791" spans="1:5" s="15" customFormat="1" ht="12.95" customHeight="1">
      <c r="A791" s="25" t="s">
        <v>3569</v>
      </c>
      <c r="B791" s="25"/>
      <c r="C791" s="25" t="s">
        <v>3570</v>
      </c>
      <c r="D791" s="25"/>
      <c r="E791" s="25"/>
    </row>
    <row r="792" spans="1:5" s="15" customFormat="1" ht="12.95" customHeight="1">
      <c r="A792" s="25" t="s">
        <v>3571</v>
      </c>
      <c r="B792" s="25"/>
      <c r="C792" s="25" t="s">
        <v>3572</v>
      </c>
      <c r="D792" s="25"/>
      <c r="E792" s="25"/>
    </row>
    <row r="793" spans="1:5" s="15" customFormat="1" ht="12.95" customHeight="1">
      <c r="A793" s="25" t="s">
        <v>3573</v>
      </c>
      <c r="B793" s="25"/>
      <c r="C793" s="25" t="s">
        <v>3574</v>
      </c>
      <c r="D793" s="25"/>
      <c r="E793" s="25"/>
    </row>
    <row r="794" spans="1:5" s="15" customFormat="1" ht="12.95" customHeight="1">
      <c r="A794" s="25" t="s">
        <v>3575</v>
      </c>
      <c r="B794" s="25"/>
      <c r="C794" s="25" t="s">
        <v>3576</v>
      </c>
      <c r="D794" s="25"/>
      <c r="E794" s="25"/>
    </row>
    <row r="795" spans="1:5" s="15" customFormat="1" ht="12.95" customHeight="1">
      <c r="A795" s="25" t="s">
        <v>3577</v>
      </c>
      <c r="B795" s="25"/>
      <c r="C795" s="25" t="s">
        <v>3578</v>
      </c>
      <c r="D795" s="25"/>
      <c r="E795" s="25"/>
    </row>
    <row r="796" spans="1:5" s="15" customFormat="1" ht="12.95" customHeight="1">
      <c r="A796" s="25" t="s">
        <v>3579</v>
      </c>
      <c r="B796" s="25"/>
      <c r="C796" s="25" t="s">
        <v>3580</v>
      </c>
      <c r="D796" s="25"/>
      <c r="E796" s="25"/>
    </row>
    <row r="797" spans="1:5" s="15" customFormat="1" ht="12.95" customHeight="1">
      <c r="A797" s="25" t="s">
        <v>3581</v>
      </c>
      <c r="B797" s="25"/>
      <c r="C797" s="25" t="s">
        <v>3582</v>
      </c>
      <c r="D797" s="25"/>
      <c r="E797" s="25"/>
    </row>
    <row r="798" spans="1:5" s="15" customFormat="1" ht="12.95" customHeight="1">
      <c r="A798" s="25" t="s">
        <v>3583</v>
      </c>
      <c r="B798" s="25"/>
      <c r="C798" s="25" t="s">
        <v>3584</v>
      </c>
      <c r="D798" s="25"/>
      <c r="E798" s="25"/>
    </row>
    <row r="799" spans="1:5" s="15" customFormat="1" ht="12.95" customHeight="1">
      <c r="A799" s="25" t="s">
        <v>3585</v>
      </c>
      <c r="B799" s="25"/>
      <c r="C799" s="25" t="s">
        <v>3586</v>
      </c>
      <c r="D799" s="25"/>
      <c r="E799" s="25"/>
    </row>
    <row r="800" spans="1:5" s="15" customFormat="1" ht="12.95" customHeight="1">
      <c r="A800" s="25" t="s">
        <v>648</v>
      </c>
      <c r="B800" s="25"/>
      <c r="C800" s="25" t="s">
        <v>3587</v>
      </c>
      <c r="D800" s="25"/>
      <c r="E800" s="25"/>
    </row>
    <row r="801" spans="1:5" s="15" customFormat="1" ht="12.95" customHeight="1">
      <c r="A801" s="25" t="s">
        <v>3588</v>
      </c>
      <c r="B801" s="25"/>
      <c r="C801" s="25" t="s">
        <v>3589</v>
      </c>
      <c r="D801" s="25"/>
      <c r="E801" s="25"/>
    </row>
    <row r="802" spans="1:5" s="15" customFormat="1" ht="12.95" customHeight="1">
      <c r="A802" s="25" t="s">
        <v>163</v>
      </c>
      <c r="B802" s="25"/>
      <c r="C802" s="25" t="s">
        <v>3590</v>
      </c>
      <c r="D802" s="25"/>
      <c r="E802" s="25"/>
    </row>
    <row r="803" spans="1:5" s="15" customFormat="1" ht="12.95" customHeight="1">
      <c r="A803" s="25" t="s">
        <v>881</v>
      </c>
      <c r="B803" s="25"/>
      <c r="C803" s="25" t="s">
        <v>3591</v>
      </c>
      <c r="D803" s="25"/>
      <c r="E803" s="25"/>
    </row>
    <row r="804" spans="1:5" s="15" customFormat="1" ht="12.95" customHeight="1">
      <c r="A804" s="25" t="s">
        <v>3592</v>
      </c>
      <c r="B804" s="25"/>
      <c r="C804" s="25" t="s">
        <v>3593</v>
      </c>
      <c r="D804" s="25"/>
      <c r="E804" s="25"/>
    </row>
    <row r="805" spans="1:5" s="15" customFormat="1" ht="12.95" customHeight="1">
      <c r="A805" s="25" t="s">
        <v>3594</v>
      </c>
      <c r="B805" s="25"/>
      <c r="C805" s="25" t="s">
        <v>3595</v>
      </c>
      <c r="D805" s="25"/>
      <c r="E805" s="25"/>
    </row>
    <row r="806" spans="1:5" s="15" customFormat="1" ht="12.95" customHeight="1">
      <c r="A806" s="25" t="s">
        <v>1305</v>
      </c>
      <c r="B806" s="25"/>
      <c r="C806" s="25" t="s">
        <v>3596</v>
      </c>
      <c r="D806" s="25"/>
      <c r="E806" s="25"/>
    </row>
    <row r="807" spans="1:5" s="15" customFormat="1" ht="12.95" customHeight="1">
      <c r="A807" s="25" t="s">
        <v>3597</v>
      </c>
      <c r="B807" s="25"/>
      <c r="C807" s="25" t="s">
        <v>3598</v>
      </c>
      <c r="D807" s="25"/>
      <c r="E807" s="25"/>
    </row>
    <row r="808" spans="1:5" s="15" customFormat="1" ht="12.95" customHeight="1">
      <c r="A808" s="25" t="s">
        <v>1281</v>
      </c>
      <c r="B808" s="25"/>
      <c r="C808" s="25" t="s">
        <v>3599</v>
      </c>
      <c r="D808" s="25"/>
      <c r="E808" s="25"/>
    </row>
    <row r="809" spans="1:5" s="15" customFormat="1" ht="12.95" customHeight="1">
      <c r="A809" s="25" t="s">
        <v>2199</v>
      </c>
      <c r="B809" s="25"/>
      <c r="C809" s="25" t="s">
        <v>3590</v>
      </c>
      <c r="D809" s="25"/>
      <c r="E809" s="25"/>
    </row>
    <row r="810" spans="1:5" s="15" customFormat="1" ht="12.95" customHeight="1">
      <c r="A810" s="25" t="s">
        <v>876</v>
      </c>
      <c r="B810" s="25"/>
      <c r="C810" s="25" t="s">
        <v>3596</v>
      </c>
      <c r="D810" s="25"/>
      <c r="E810" s="25"/>
    </row>
    <row r="811" spans="1:5" s="15" customFormat="1" ht="12.95" customHeight="1">
      <c r="A811" s="25" t="s">
        <v>3600</v>
      </c>
      <c r="B811" s="25"/>
      <c r="C811" s="25" t="s">
        <v>3599</v>
      </c>
      <c r="D811" s="25"/>
      <c r="E811" s="25"/>
    </row>
    <row r="812" spans="1:5" s="15" customFormat="1" ht="12.95" customHeight="1">
      <c r="A812" s="25" t="s">
        <v>3601</v>
      </c>
      <c r="B812" s="25"/>
      <c r="C812" s="25" t="s">
        <v>3590</v>
      </c>
      <c r="D812" s="25"/>
      <c r="E812" s="25"/>
    </row>
    <row r="813" spans="1:5" s="15" customFormat="1" ht="12.95" customHeight="1">
      <c r="A813" s="25" t="s">
        <v>3602</v>
      </c>
      <c r="B813" s="25"/>
      <c r="C813" s="25" t="s">
        <v>3596</v>
      </c>
      <c r="D813" s="25"/>
      <c r="E813" s="25"/>
    </row>
    <row r="814" spans="1:5" s="15" customFormat="1" ht="12.95" customHeight="1">
      <c r="A814" s="25" t="s">
        <v>3603</v>
      </c>
      <c r="B814" s="25"/>
      <c r="C814" s="25" t="s">
        <v>3604</v>
      </c>
      <c r="D814" s="25"/>
      <c r="E814" s="25"/>
    </row>
    <row r="815" spans="1:5" s="15" customFormat="1" ht="12.95" customHeight="1">
      <c r="A815" s="25" t="s">
        <v>3605</v>
      </c>
      <c r="B815" s="25"/>
      <c r="C815" s="25" t="s">
        <v>3606</v>
      </c>
      <c r="D815" s="25"/>
      <c r="E815" s="25"/>
    </row>
    <row r="816" spans="1:5" s="15" customFormat="1" ht="12.95" customHeight="1">
      <c r="A816" s="25" t="s">
        <v>3607</v>
      </c>
      <c r="B816" s="25"/>
      <c r="C816" s="25" t="s">
        <v>3608</v>
      </c>
      <c r="D816" s="25"/>
      <c r="E816" s="25"/>
    </row>
    <row r="817" spans="1:5" s="15" customFormat="1" ht="12.95" customHeight="1">
      <c r="A817" s="25" t="s">
        <v>3609</v>
      </c>
      <c r="B817" s="25"/>
      <c r="C817" s="25" t="s">
        <v>3610</v>
      </c>
      <c r="D817" s="25"/>
      <c r="E817" s="25"/>
    </row>
    <row r="818" spans="1:5" s="15" customFormat="1" ht="12.95" customHeight="1">
      <c r="A818" s="25" t="s">
        <v>3611</v>
      </c>
      <c r="B818" s="25"/>
      <c r="C818" s="25" t="s">
        <v>3612</v>
      </c>
      <c r="D818" s="25"/>
      <c r="E818" s="25"/>
    </row>
    <row r="819" spans="1:5" s="15" customFormat="1" ht="12.95" customHeight="1">
      <c r="A819" s="25" t="s">
        <v>3613</v>
      </c>
      <c r="B819" s="25"/>
      <c r="C819" s="25" t="s">
        <v>3614</v>
      </c>
      <c r="D819" s="25"/>
      <c r="E819" s="25"/>
    </row>
    <row r="820" spans="1:5" s="15" customFormat="1" ht="12.95" customHeight="1">
      <c r="A820" s="25" t="s">
        <v>3615</v>
      </c>
      <c r="B820" s="25"/>
      <c r="C820" s="25" t="s">
        <v>3616</v>
      </c>
      <c r="D820" s="25"/>
      <c r="E820" s="25"/>
    </row>
    <row r="821" spans="1:5" s="15" customFormat="1" ht="12.95" customHeight="1">
      <c r="A821" s="25" t="s">
        <v>3617</v>
      </c>
      <c r="B821" s="25"/>
      <c r="C821" s="25" t="s">
        <v>3618</v>
      </c>
      <c r="D821" s="25"/>
      <c r="E821" s="25"/>
    </row>
    <row r="822" spans="1:5" s="15" customFormat="1" ht="12.95" customHeight="1">
      <c r="A822" s="25" t="s">
        <v>3619</v>
      </c>
      <c r="B822" s="25"/>
      <c r="C822" s="25" t="s">
        <v>3618</v>
      </c>
      <c r="D822" s="25"/>
      <c r="E822" s="25"/>
    </row>
    <row r="823" spans="1:5" s="15" customFormat="1" ht="12.95" customHeight="1">
      <c r="A823" s="25" t="s">
        <v>3620</v>
      </c>
      <c r="B823" s="25"/>
      <c r="C823" s="25" t="s">
        <v>3621</v>
      </c>
      <c r="D823" s="25"/>
      <c r="E823" s="25"/>
    </row>
    <row r="824" spans="1:5" s="15" customFormat="1" ht="12.95" customHeight="1">
      <c r="A824" s="25" t="s">
        <v>3622</v>
      </c>
      <c r="B824" s="25"/>
      <c r="C824" s="25" t="s">
        <v>3623</v>
      </c>
      <c r="D824" s="25"/>
      <c r="E824" s="25"/>
    </row>
    <row r="825" spans="1:5" s="15" customFormat="1" ht="12.95" customHeight="1">
      <c r="A825" s="25" t="s">
        <v>3624</v>
      </c>
      <c r="B825" s="25"/>
      <c r="C825" s="25" t="s">
        <v>3625</v>
      </c>
      <c r="D825" s="25"/>
      <c r="E825" s="25"/>
    </row>
    <row r="826" spans="1:5" s="15" customFormat="1" ht="12.95" customHeight="1">
      <c r="A826" s="25" t="s">
        <v>3626</v>
      </c>
      <c r="B826" s="25"/>
      <c r="C826" s="25" t="s">
        <v>3625</v>
      </c>
      <c r="D826" s="25"/>
      <c r="E826" s="25"/>
    </row>
    <row r="827" spans="1:5" s="15" customFormat="1" ht="12.95" customHeight="1">
      <c r="A827" s="25" t="s">
        <v>3627</v>
      </c>
      <c r="B827" s="25"/>
      <c r="C827" s="25" t="s">
        <v>3628</v>
      </c>
      <c r="D827" s="25"/>
      <c r="E827" s="25"/>
    </row>
    <row r="828" spans="1:5" s="15" customFormat="1" ht="12.95" customHeight="1">
      <c r="A828" s="25" t="s">
        <v>1293</v>
      </c>
      <c r="B828" s="25"/>
      <c r="C828" s="25" t="s">
        <v>3629</v>
      </c>
      <c r="D828" s="25"/>
      <c r="E828" s="25"/>
    </row>
    <row r="829" spans="1:5" s="15" customFormat="1" ht="12.95" customHeight="1">
      <c r="A829" s="25" t="s">
        <v>3630</v>
      </c>
      <c r="B829" s="25"/>
      <c r="C829" s="25" t="s">
        <v>3631</v>
      </c>
      <c r="D829" s="25"/>
      <c r="E829" s="25"/>
    </row>
    <row r="830" spans="1:5" s="15" customFormat="1" ht="12.95" customHeight="1">
      <c r="A830" s="25" t="s">
        <v>3632</v>
      </c>
      <c r="B830" s="25"/>
      <c r="C830" s="25" t="s">
        <v>3633</v>
      </c>
      <c r="D830" s="25"/>
      <c r="E830" s="25"/>
    </row>
    <row r="831" spans="1:5" s="15" customFormat="1" ht="12.95" customHeight="1">
      <c r="A831" s="25" t="s">
        <v>3634</v>
      </c>
      <c r="B831" s="25"/>
      <c r="C831" s="25" t="s">
        <v>3633</v>
      </c>
      <c r="D831" s="25"/>
      <c r="E831" s="25"/>
    </row>
    <row r="832" spans="1:5" s="15" customFormat="1" ht="12.95" customHeight="1">
      <c r="A832" s="25" t="s">
        <v>3635</v>
      </c>
      <c r="B832" s="25"/>
      <c r="C832" s="25" t="s">
        <v>3636</v>
      </c>
      <c r="D832" s="25"/>
      <c r="E832" s="25"/>
    </row>
    <row r="833" spans="1:5" s="15" customFormat="1" ht="12.95" customHeight="1">
      <c r="A833" s="25" t="s">
        <v>3637</v>
      </c>
      <c r="B833" s="25"/>
      <c r="C833" s="25" t="s">
        <v>3638</v>
      </c>
      <c r="D833" s="25"/>
      <c r="E833" s="25"/>
    </row>
    <row r="834" spans="1:5" s="15" customFormat="1" ht="12.95" customHeight="1">
      <c r="A834" s="25" t="s">
        <v>3639</v>
      </c>
      <c r="B834" s="25"/>
      <c r="C834" s="25" t="s">
        <v>3640</v>
      </c>
      <c r="D834" s="25"/>
      <c r="E834" s="25"/>
    </row>
    <row r="835" spans="1:5" s="15" customFormat="1" ht="12.95" customHeight="1">
      <c r="A835" s="25" t="s">
        <v>3641</v>
      </c>
      <c r="B835" s="25"/>
      <c r="C835" s="25" t="s">
        <v>3642</v>
      </c>
      <c r="D835" s="25"/>
      <c r="E835" s="25"/>
    </row>
    <row r="836" spans="1:5" s="15" customFormat="1" ht="12.95" customHeight="1">
      <c r="A836" s="25" t="s">
        <v>3643</v>
      </c>
      <c r="B836" s="25"/>
      <c r="C836" s="25" t="s">
        <v>3644</v>
      </c>
      <c r="D836" s="25"/>
      <c r="E836" s="25"/>
    </row>
    <row r="837" spans="1:5" s="15" customFormat="1" ht="12.95" customHeight="1">
      <c r="A837" s="25" t="s">
        <v>3645</v>
      </c>
      <c r="B837" s="25"/>
      <c r="C837" s="25" t="s">
        <v>3638</v>
      </c>
      <c r="D837" s="25"/>
      <c r="E837" s="25"/>
    </row>
    <row r="838" spans="1:5" s="15" customFormat="1" ht="12.95" customHeight="1">
      <c r="A838" s="25" t="s">
        <v>3646</v>
      </c>
      <c r="B838" s="25"/>
      <c r="C838" s="25" t="s">
        <v>3644</v>
      </c>
      <c r="D838" s="25"/>
      <c r="E838" s="25"/>
    </row>
    <row r="839" spans="1:5" s="15" customFormat="1" ht="12.95" customHeight="1">
      <c r="A839" s="25" t="s">
        <v>3647</v>
      </c>
      <c r="B839" s="25"/>
      <c r="C839" s="25" t="s">
        <v>3648</v>
      </c>
      <c r="D839" s="25"/>
      <c r="E839" s="25"/>
    </row>
    <row r="840" spans="1:5" s="15" customFormat="1" ht="12.95" customHeight="1">
      <c r="A840" s="25" t="s">
        <v>3649</v>
      </c>
      <c r="B840" s="25"/>
      <c r="C840" s="25" t="s">
        <v>3650</v>
      </c>
      <c r="D840" s="25"/>
      <c r="E840" s="25"/>
    </row>
    <row r="841" spans="1:5" s="15" customFormat="1" ht="12.95" customHeight="1">
      <c r="A841" s="25" t="s">
        <v>3651</v>
      </c>
      <c r="B841" s="25"/>
      <c r="C841" s="25" t="s">
        <v>3652</v>
      </c>
      <c r="D841" s="25"/>
      <c r="E841" s="25"/>
    </row>
    <row r="842" spans="1:5" s="15" customFormat="1" ht="12.95" customHeight="1">
      <c r="A842" s="25" t="s">
        <v>3653</v>
      </c>
      <c r="B842" s="25"/>
      <c r="C842" s="25" t="s">
        <v>3654</v>
      </c>
      <c r="D842" s="25"/>
      <c r="E842" s="25"/>
    </row>
    <row r="843" spans="1:5" s="15" customFormat="1" ht="12.95" customHeight="1">
      <c r="A843" s="25" t="s">
        <v>3655</v>
      </c>
      <c r="B843" s="25"/>
      <c r="C843" s="25" t="s">
        <v>3654</v>
      </c>
      <c r="D843" s="25"/>
      <c r="E843" s="25"/>
    </row>
    <row r="844" spans="1:5" s="15" customFormat="1" ht="12.95" customHeight="1">
      <c r="A844" s="25" t="s">
        <v>3656</v>
      </c>
      <c r="B844" s="25"/>
      <c r="C844" s="25" t="s">
        <v>3657</v>
      </c>
      <c r="D844" s="25"/>
      <c r="E844" s="25"/>
    </row>
    <row r="845" spans="1:5" s="15" customFormat="1" ht="12.95" customHeight="1">
      <c r="A845" s="25" t="s">
        <v>3658</v>
      </c>
      <c r="B845" s="25"/>
      <c r="C845" s="25" t="s">
        <v>3659</v>
      </c>
      <c r="D845" s="25"/>
      <c r="E845" s="25"/>
    </row>
    <row r="846" spans="1:5" s="15" customFormat="1" ht="12.95" customHeight="1">
      <c r="A846" s="25" t="s">
        <v>3660</v>
      </c>
      <c r="B846" s="25"/>
      <c r="C846" s="25" t="s">
        <v>3661</v>
      </c>
      <c r="D846" s="25"/>
      <c r="E846" s="25"/>
    </row>
    <row r="847" spans="1:5" s="15" customFormat="1" ht="12.95" customHeight="1">
      <c r="A847" s="25" t="s">
        <v>3662</v>
      </c>
      <c r="B847" s="25"/>
      <c r="C847" s="25" t="s">
        <v>3663</v>
      </c>
      <c r="D847" s="25"/>
      <c r="E847" s="25"/>
    </row>
    <row r="848" spans="1:5" s="15" customFormat="1" ht="12.95" customHeight="1">
      <c r="A848" s="25" t="s">
        <v>3664</v>
      </c>
      <c r="B848" s="25"/>
      <c r="C848" s="25" t="s">
        <v>3665</v>
      </c>
      <c r="D848" s="25"/>
      <c r="E848" s="25"/>
    </row>
    <row r="849" spans="1:5" s="15" customFormat="1" ht="12.95" customHeight="1">
      <c r="A849" s="25" t="s">
        <v>3666</v>
      </c>
      <c r="B849" s="25"/>
      <c r="C849" s="25" t="s">
        <v>3667</v>
      </c>
      <c r="D849" s="25"/>
      <c r="E849" s="25"/>
    </row>
    <row r="850" spans="1:5" s="15" customFormat="1" ht="12.95" customHeight="1">
      <c r="A850" s="25" t="s">
        <v>3668</v>
      </c>
      <c r="B850" s="25"/>
      <c r="C850" s="25" t="s">
        <v>3669</v>
      </c>
      <c r="D850" s="25"/>
      <c r="E850" s="25"/>
    </row>
    <row r="851" spans="1:5" s="15" customFormat="1" ht="12.95" customHeight="1">
      <c r="A851" s="25" t="s">
        <v>3670</v>
      </c>
      <c r="B851" s="25"/>
      <c r="C851" s="25" t="s">
        <v>3671</v>
      </c>
      <c r="D851" s="25"/>
      <c r="E851" s="25"/>
    </row>
    <row r="852" spans="1:5" s="15" customFormat="1" ht="12.95" customHeight="1">
      <c r="A852" s="25" t="s">
        <v>3672</v>
      </c>
      <c r="B852" s="25"/>
      <c r="C852" s="25" t="s">
        <v>3673</v>
      </c>
      <c r="D852" s="25"/>
      <c r="E852" s="25"/>
    </row>
  </sheetData>
  <mergeCells count="777">
    <mergeCell ref="A849:B849"/>
    <mergeCell ref="C849:E849"/>
    <mergeCell ref="A850:B850"/>
    <mergeCell ref="C850:E850"/>
    <mergeCell ref="A851:B851"/>
    <mergeCell ref="C851:E851"/>
    <mergeCell ref="A852:B852"/>
    <mergeCell ref="C852:E852"/>
    <mergeCell ref="A844:B844"/>
    <mergeCell ref="C844:E844"/>
    <mergeCell ref="A845:B845"/>
    <mergeCell ref="C845:E845"/>
    <mergeCell ref="A846:B846"/>
    <mergeCell ref="C846:E846"/>
    <mergeCell ref="A847:B847"/>
    <mergeCell ref="C847:E847"/>
    <mergeCell ref="A848:B848"/>
    <mergeCell ref="C848:E848"/>
    <mergeCell ref="A839:B839"/>
    <mergeCell ref="C839:E839"/>
    <mergeCell ref="A840:B840"/>
    <mergeCell ref="C840:E840"/>
    <mergeCell ref="A841:B841"/>
    <mergeCell ref="C841:E841"/>
    <mergeCell ref="A842:B842"/>
    <mergeCell ref="C842:E842"/>
    <mergeCell ref="A843:B843"/>
    <mergeCell ref="C843:E843"/>
    <mergeCell ref="A834:B834"/>
    <mergeCell ref="C834:E834"/>
    <mergeCell ref="A835:B835"/>
    <mergeCell ref="C835:E835"/>
    <mergeCell ref="A836:B836"/>
    <mergeCell ref="C836:E836"/>
    <mergeCell ref="A837:B837"/>
    <mergeCell ref="C837:E837"/>
    <mergeCell ref="A838:B838"/>
    <mergeCell ref="C838:E838"/>
    <mergeCell ref="A829:B829"/>
    <mergeCell ref="C829:E829"/>
    <mergeCell ref="A830:B830"/>
    <mergeCell ref="C830:E830"/>
    <mergeCell ref="A831:B831"/>
    <mergeCell ref="C831:E831"/>
    <mergeCell ref="A832:B832"/>
    <mergeCell ref="C832:E832"/>
    <mergeCell ref="A833:B833"/>
    <mergeCell ref="C833:E833"/>
    <mergeCell ref="A824:B824"/>
    <mergeCell ref="C824:E824"/>
    <mergeCell ref="A825:B825"/>
    <mergeCell ref="C825:E825"/>
    <mergeCell ref="A826:B826"/>
    <mergeCell ref="C826:E826"/>
    <mergeCell ref="A827:B827"/>
    <mergeCell ref="C827:E827"/>
    <mergeCell ref="A828:B828"/>
    <mergeCell ref="C828:E828"/>
    <mergeCell ref="A819:B819"/>
    <mergeCell ref="C819:E819"/>
    <mergeCell ref="A820:B820"/>
    <mergeCell ref="C820:E820"/>
    <mergeCell ref="A821:B821"/>
    <mergeCell ref="C821:E821"/>
    <mergeCell ref="A822:B822"/>
    <mergeCell ref="C822:E822"/>
    <mergeCell ref="A823:B823"/>
    <mergeCell ref="C823:E823"/>
    <mergeCell ref="A814:B814"/>
    <mergeCell ref="C814:E814"/>
    <mergeCell ref="A815:B815"/>
    <mergeCell ref="C815:E815"/>
    <mergeCell ref="A816:B816"/>
    <mergeCell ref="C816:E816"/>
    <mergeCell ref="A817:B817"/>
    <mergeCell ref="C817:E817"/>
    <mergeCell ref="A818:B818"/>
    <mergeCell ref="C818:E818"/>
    <mergeCell ref="A809:B809"/>
    <mergeCell ref="C809:E809"/>
    <mergeCell ref="A810:B810"/>
    <mergeCell ref="C810:E810"/>
    <mergeCell ref="A811:B811"/>
    <mergeCell ref="C811:E811"/>
    <mergeCell ref="A812:B812"/>
    <mergeCell ref="C812:E812"/>
    <mergeCell ref="A813:B813"/>
    <mergeCell ref="C813:E813"/>
    <mergeCell ref="A804:B804"/>
    <mergeCell ref="C804:E804"/>
    <mergeCell ref="A805:B805"/>
    <mergeCell ref="C805:E805"/>
    <mergeCell ref="A806:B806"/>
    <mergeCell ref="C806:E806"/>
    <mergeCell ref="A807:B807"/>
    <mergeCell ref="C807:E807"/>
    <mergeCell ref="A808:B808"/>
    <mergeCell ref="C808:E808"/>
    <mergeCell ref="A799:B799"/>
    <mergeCell ref="C799:E799"/>
    <mergeCell ref="A800:B800"/>
    <mergeCell ref="C800:E800"/>
    <mergeCell ref="A801:B801"/>
    <mergeCell ref="C801:E801"/>
    <mergeCell ref="A802:B802"/>
    <mergeCell ref="C802:E802"/>
    <mergeCell ref="A803:B803"/>
    <mergeCell ref="C803:E803"/>
    <mergeCell ref="A794:B794"/>
    <mergeCell ref="C794:E794"/>
    <mergeCell ref="A795:B795"/>
    <mergeCell ref="C795:E795"/>
    <mergeCell ref="A796:B796"/>
    <mergeCell ref="C796:E796"/>
    <mergeCell ref="A797:B797"/>
    <mergeCell ref="C797:E797"/>
    <mergeCell ref="A798:B798"/>
    <mergeCell ref="C798:E798"/>
    <mergeCell ref="A789:B789"/>
    <mergeCell ref="C789:E789"/>
    <mergeCell ref="A790:B790"/>
    <mergeCell ref="C790:E790"/>
    <mergeCell ref="A791:B791"/>
    <mergeCell ref="C791:E791"/>
    <mergeCell ref="A792:B792"/>
    <mergeCell ref="C792:E792"/>
    <mergeCell ref="A793:B793"/>
    <mergeCell ref="C793:E793"/>
    <mergeCell ref="A784:B784"/>
    <mergeCell ref="C784:E784"/>
    <mergeCell ref="A785:B785"/>
    <mergeCell ref="C785:E785"/>
    <mergeCell ref="A786:B786"/>
    <mergeCell ref="C786:E786"/>
    <mergeCell ref="A787:B787"/>
    <mergeCell ref="C787:E787"/>
    <mergeCell ref="A788:B788"/>
    <mergeCell ref="C788:E788"/>
    <mergeCell ref="A779:B779"/>
    <mergeCell ref="C779:E779"/>
    <mergeCell ref="A780:B780"/>
    <mergeCell ref="C780:E780"/>
    <mergeCell ref="A781:B781"/>
    <mergeCell ref="C781:E781"/>
    <mergeCell ref="A782:B782"/>
    <mergeCell ref="C782:E782"/>
    <mergeCell ref="A783:B783"/>
    <mergeCell ref="C783:E783"/>
    <mergeCell ref="A774:B774"/>
    <mergeCell ref="C774:E774"/>
    <mergeCell ref="A775:B775"/>
    <mergeCell ref="C775:E775"/>
    <mergeCell ref="A776:B776"/>
    <mergeCell ref="C776:E776"/>
    <mergeCell ref="A777:B777"/>
    <mergeCell ref="C777:E777"/>
    <mergeCell ref="A778:B778"/>
    <mergeCell ref="C778:E778"/>
    <mergeCell ref="A769:B769"/>
    <mergeCell ref="C769:E769"/>
    <mergeCell ref="A770:B770"/>
    <mergeCell ref="C770:E770"/>
    <mergeCell ref="A771:B771"/>
    <mergeCell ref="C771:E771"/>
    <mergeCell ref="A772:B772"/>
    <mergeCell ref="C772:E772"/>
    <mergeCell ref="A773:B773"/>
    <mergeCell ref="C773:E773"/>
    <mergeCell ref="A764:B764"/>
    <mergeCell ref="C764:E764"/>
    <mergeCell ref="A765:B765"/>
    <mergeCell ref="C765:E765"/>
    <mergeCell ref="A766:B766"/>
    <mergeCell ref="C766:E766"/>
    <mergeCell ref="A767:B767"/>
    <mergeCell ref="C767:E767"/>
    <mergeCell ref="A768:B768"/>
    <mergeCell ref="C768:E768"/>
    <mergeCell ref="A759:B759"/>
    <mergeCell ref="C759:E759"/>
    <mergeCell ref="A760:B760"/>
    <mergeCell ref="C760:E760"/>
    <mergeCell ref="A761:B761"/>
    <mergeCell ref="C761:E761"/>
    <mergeCell ref="A762:B762"/>
    <mergeCell ref="C762:E762"/>
    <mergeCell ref="A763:B763"/>
    <mergeCell ref="C763:E763"/>
    <mergeCell ref="A754:B754"/>
    <mergeCell ref="C754:E754"/>
    <mergeCell ref="A755:B755"/>
    <mergeCell ref="C755:E755"/>
    <mergeCell ref="A756:B756"/>
    <mergeCell ref="C756:E756"/>
    <mergeCell ref="A757:B757"/>
    <mergeCell ref="C757:E757"/>
    <mergeCell ref="A758:B758"/>
    <mergeCell ref="C758:E758"/>
    <mergeCell ref="A749:B749"/>
    <mergeCell ref="C749:E749"/>
    <mergeCell ref="A750:B750"/>
    <mergeCell ref="C750:E750"/>
    <mergeCell ref="A751:B751"/>
    <mergeCell ref="C751:E751"/>
    <mergeCell ref="A752:B752"/>
    <mergeCell ref="C752:E752"/>
    <mergeCell ref="A753:B753"/>
    <mergeCell ref="C753:E753"/>
    <mergeCell ref="A744:B744"/>
    <mergeCell ref="C744:E744"/>
    <mergeCell ref="A745:B745"/>
    <mergeCell ref="C745:E745"/>
    <mergeCell ref="A746:B746"/>
    <mergeCell ref="C746:E746"/>
    <mergeCell ref="A747:B747"/>
    <mergeCell ref="C747:E747"/>
    <mergeCell ref="A748:B748"/>
    <mergeCell ref="C748:E748"/>
    <mergeCell ref="A739:B739"/>
    <mergeCell ref="C739:E739"/>
    <mergeCell ref="A740:B740"/>
    <mergeCell ref="C740:E740"/>
    <mergeCell ref="A741:B741"/>
    <mergeCell ref="C741:E741"/>
    <mergeCell ref="A742:B742"/>
    <mergeCell ref="C742:E742"/>
    <mergeCell ref="A743:B743"/>
    <mergeCell ref="C743:E743"/>
    <mergeCell ref="A734:B734"/>
    <mergeCell ref="C734:E734"/>
    <mergeCell ref="A735:B735"/>
    <mergeCell ref="C735:E735"/>
    <mergeCell ref="A736:B736"/>
    <mergeCell ref="C736:E736"/>
    <mergeCell ref="A737:B737"/>
    <mergeCell ref="C737:E737"/>
    <mergeCell ref="A738:B738"/>
    <mergeCell ref="C738:E738"/>
    <mergeCell ref="A729:B729"/>
    <mergeCell ref="C729:E729"/>
    <mergeCell ref="A730:B730"/>
    <mergeCell ref="C730:E730"/>
    <mergeCell ref="A731:B731"/>
    <mergeCell ref="C731:E731"/>
    <mergeCell ref="A732:B732"/>
    <mergeCell ref="C732:E732"/>
    <mergeCell ref="A733:B733"/>
    <mergeCell ref="C733:E733"/>
    <mergeCell ref="A724:B724"/>
    <mergeCell ref="C724:E724"/>
    <mergeCell ref="A725:B725"/>
    <mergeCell ref="C725:E725"/>
    <mergeCell ref="A726:B726"/>
    <mergeCell ref="C726:E726"/>
    <mergeCell ref="A727:B727"/>
    <mergeCell ref="C727:E727"/>
    <mergeCell ref="A728:B728"/>
    <mergeCell ref="C728:E728"/>
    <mergeCell ref="A719:B719"/>
    <mergeCell ref="C719:E719"/>
    <mergeCell ref="A720:B720"/>
    <mergeCell ref="C720:E720"/>
    <mergeCell ref="A721:B721"/>
    <mergeCell ref="C721:E721"/>
    <mergeCell ref="A722:B722"/>
    <mergeCell ref="C722:E722"/>
    <mergeCell ref="A723:B723"/>
    <mergeCell ref="C723:E723"/>
    <mergeCell ref="A714:B714"/>
    <mergeCell ref="C714:E714"/>
    <mergeCell ref="A715:B715"/>
    <mergeCell ref="C715:E715"/>
    <mergeCell ref="A716:B716"/>
    <mergeCell ref="C716:E716"/>
    <mergeCell ref="A717:B717"/>
    <mergeCell ref="C717:E717"/>
    <mergeCell ref="A718:B718"/>
    <mergeCell ref="C718:E718"/>
    <mergeCell ref="A709:B709"/>
    <mergeCell ref="C709:E709"/>
    <mergeCell ref="A710:B710"/>
    <mergeCell ref="C710:E710"/>
    <mergeCell ref="A711:B711"/>
    <mergeCell ref="C711:E711"/>
    <mergeCell ref="A712:B712"/>
    <mergeCell ref="C712:E712"/>
    <mergeCell ref="A713:B713"/>
    <mergeCell ref="C713:E713"/>
    <mergeCell ref="A704:B704"/>
    <mergeCell ref="C704:E704"/>
    <mergeCell ref="A705:B705"/>
    <mergeCell ref="C705:E705"/>
    <mergeCell ref="A706:B706"/>
    <mergeCell ref="C706:E706"/>
    <mergeCell ref="A707:B707"/>
    <mergeCell ref="C707:E707"/>
    <mergeCell ref="A708:B708"/>
    <mergeCell ref="C708:E708"/>
    <mergeCell ref="A699:B699"/>
    <mergeCell ref="C699:E699"/>
    <mergeCell ref="A700:B700"/>
    <mergeCell ref="C700:E700"/>
    <mergeCell ref="A701:B701"/>
    <mergeCell ref="C701:E701"/>
    <mergeCell ref="A702:B702"/>
    <mergeCell ref="C702:E702"/>
    <mergeCell ref="A703:B703"/>
    <mergeCell ref="C703:E703"/>
    <mergeCell ref="A694:B694"/>
    <mergeCell ref="C694:E694"/>
    <mergeCell ref="A695:B695"/>
    <mergeCell ref="C695:E695"/>
    <mergeCell ref="A696:B696"/>
    <mergeCell ref="C696:E696"/>
    <mergeCell ref="A697:B697"/>
    <mergeCell ref="C697:E697"/>
    <mergeCell ref="A698:B698"/>
    <mergeCell ref="C698:E698"/>
    <mergeCell ref="A689:B689"/>
    <mergeCell ref="C689:E689"/>
    <mergeCell ref="A690:B690"/>
    <mergeCell ref="C690:E690"/>
    <mergeCell ref="A691:B691"/>
    <mergeCell ref="C691:E691"/>
    <mergeCell ref="A692:B692"/>
    <mergeCell ref="C692:E692"/>
    <mergeCell ref="A693:B693"/>
    <mergeCell ref="C693:E693"/>
    <mergeCell ref="A684:B684"/>
    <mergeCell ref="C684:E684"/>
    <mergeCell ref="A685:B685"/>
    <mergeCell ref="C685:E685"/>
    <mergeCell ref="A686:B686"/>
    <mergeCell ref="C686:E686"/>
    <mergeCell ref="A687:B687"/>
    <mergeCell ref="C687:E687"/>
    <mergeCell ref="A688:B688"/>
    <mergeCell ref="C688:E688"/>
    <mergeCell ref="A679:B679"/>
    <mergeCell ref="C679:E679"/>
    <mergeCell ref="A680:B680"/>
    <mergeCell ref="C680:E680"/>
    <mergeCell ref="A681:B681"/>
    <mergeCell ref="C681:E681"/>
    <mergeCell ref="A682:B682"/>
    <mergeCell ref="C682:E682"/>
    <mergeCell ref="A683:B683"/>
    <mergeCell ref="C683:E683"/>
    <mergeCell ref="A674:B674"/>
    <mergeCell ref="C674:E674"/>
    <mergeCell ref="A675:B675"/>
    <mergeCell ref="C675:E675"/>
    <mergeCell ref="A676:B676"/>
    <mergeCell ref="C676:E676"/>
    <mergeCell ref="A677:B677"/>
    <mergeCell ref="C677:E677"/>
    <mergeCell ref="A678:B678"/>
    <mergeCell ref="C678:E678"/>
    <mergeCell ref="A669:B669"/>
    <mergeCell ref="C669:E669"/>
    <mergeCell ref="A670:B670"/>
    <mergeCell ref="C670:E670"/>
    <mergeCell ref="A671:B671"/>
    <mergeCell ref="C671:E671"/>
    <mergeCell ref="A672:B672"/>
    <mergeCell ref="C672:E672"/>
    <mergeCell ref="A673:B673"/>
    <mergeCell ref="C673:E673"/>
    <mergeCell ref="A664:B664"/>
    <mergeCell ref="C664:E664"/>
    <mergeCell ref="A665:B665"/>
    <mergeCell ref="C665:E665"/>
    <mergeCell ref="A666:B666"/>
    <mergeCell ref="C666:E666"/>
    <mergeCell ref="A667:B667"/>
    <mergeCell ref="C667:E667"/>
    <mergeCell ref="A668:B668"/>
    <mergeCell ref="C668:E668"/>
    <mergeCell ref="A659:B659"/>
    <mergeCell ref="C659:E659"/>
    <mergeCell ref="A660:B660"/>
    <mergeCell ref="C660:E660"/>
    <mergeCell ref="A661:B661"/>
    <mergeCell ref="C661:E661"/>
    <mergeCell ref="A662:B662"/>
    <mergeCell ref="C662:E662"/>
    <mergeCell ref="A663:B663"/>
    <mergeCell ref="C663:E663"/>
    <mergeCell ref="A654:B654"/>
    <mergeCell ref="C654:E654"/>
    <mergeCell ref="A655:B655"/>
    <mergeCell ref="C655:E655"/>
    <mergeCell ref="A656:B656"/>
    <mergeCell ref="C656:E656"/>
    <mergeCell ref="A657:B657"/>
    <mergeCell ref="C657:E657"/>
    <mergeCell ref="A658:B658"/>
    <mergeCell ref="C658:E658"/>
    <mergeCell ref="A649:B649"/>
    <mergeCell ref="C649:E649"/>
    <mergeCell ref="A650:B650"/>
    <mergeCell ref="C650:E650"/>
    <mergeCell ref="A651:B651"/>
    <mergeCell ref="C651:E651"/>
    <mergeCell ref="A652:B652"/>
    <mergeCell ref="C652:E652"/>
    <mergeCell ref="A653:B653"/>
    <mergeCell ref="C653:E653"/>
    <mergeCell ref="A644:B644"/>
    <mergeCell ref="C644:E644"/>
    <mergeCell ref="A645:B645"/>
    <mergeCell ref="C645:E645"/>
    <mergeCell ref="A646:B646"/>
    <mergeCell ref="C646:E646"/>
    <mergeCell ref="A647:B647"/>
    <mergeCell ref="C647:E647"/>
    <mergeCell ref="A648:B648"/>
    <mergeCell ref="C648:E648"/>
    <mergeCell ref="A639:B639"/>
    <mergeCell ref="C639:E639"/>
    <mergeCell ref="A640:B640"/>
    <mergeCell ref="C640:E640"/>
    <mergeCell ref="A641:B641"/>
    <mergeCell ref="C641:E641"/>
    <mergeCell ref="A642:B642"/>
    <mergeCell ref="C642:E642"/>
    <mergeCell ref="A643:B643"/>
    <mergeCell ref="C643:E643"/>
    <mergeCell ref="A634:B634"/>
    <mergeCell ref="C634:E634"/>
    <mergeCell ref="A635:B635"/>
    <mergeCell ref="C635:E635"/>
    <mergeCell ref="A636:B636"/>
    <mergeCell ref="C636:E636"/>
    <mergeCell ref="A637:B637"/>
    <mergeCell ref="C637:E637"/>
    <mergeCell ref="A638:B638"/>
    <mergeCell ref="C638:E638"/>
    <mergeCell ref="A629:B629"/>
    <mergeCell ref="C629:E629"/>
    <mergeCell ref="A630:B630"/>
    <mergeCell ref="C630:E630"/>
    <mergeCell ref="A631:B631"/>
    <mergeCell ref="C631:E631"/>
    <mergeCell ref="A632:B632"/>
    <mergeCell ref="C632:E632"/>
    <mergeCell ref="A633:B633"/>
    <mergeCell ref="C633:E633"/>
    <mergeCell ref="A624:B624"/>
    <mergeCell ref="C624:E624"/>
    <mergeCell ref="A625:B625"/>
    <mergeCell ref="C625:E625"/>
    <mergeCell ref="A626:B626"/>
    <mergeCell ref="C626:E626"/>
    <mergeCell ref="A627:B627"/>
    <mergeCell ref="C627:E627"/>
    <mergeCell ref="A628:B628"/>
    <mergeCell ref="C628:E628"/>
    <mergeCell ref="A619:B619"/>
    <mergeCell ref="C619:E619"/>
    <mergeCell ref="A620:B620"/>
    <mergeCell ref="C620:E620"/>
    <mergeCell ref="A621:B621"/>
    <mergeCell ref="C621:E621"/>
    <mergeCell ref="A622:B622"/>
    <mergeCell ref="C622:E622"/>
    <mergeCell ref="A623:B623"/>
    <mergeCell ref="C623:E623"/>
    <mergeCell ref="A614:B614"/>
    <mergeCell ref="C614:E614"/>
    <mergeCell ref="A615:B615"/>
    <mergeCell ref="C615:E615"/>
    <mergeCell ref="A616:B616"/>
    <mergeCell ref="C616:E616"/>
    <mergeCell ref="A617:B617"/>
    <mergeCell ref="C617:E617"/>
    <mergeCell ref="A618:B618"/>
    <mergeCell ref="C618:E618"/>
    <mergeCell ref="A609:B609"/>
    <mergeCell ref="C609:E609"/>
    <mergeCell ref="A610:B610"/>
    <mergeCell ref="C610:E610"/>
    <mergeCell ref="A611:B611"/>
    <mergeCell ref="C611:E611"/>
    <mergeCell ref="A612:B612"/>
    <mergeCell ref="C612:E612"/>
    <mergeCell ref="A613:B613"/>
    <mergeCell ref="C613:E613"/>
    <mergeCell ref="A604:B604"/>
    <mergeCell ref="C604:E604"/>
    <mergeCell ref="A605:B605"/>
    <mergeCell ref="C605:E605"/>
    <mergeCell ref="A606:B606"/>
    <mergeCell ref="C606:E606"/>
    <mergeCell ref="A607:B607"/>
    <mergeCell ref="C607:E607"/>
    <mergeCell ref="A608:B608"/>
    <mergeCell ref="C608:E608"/>
    <mergeCell ref="A599:B599"/>
    <mergeCell ref="C599:E599"/>
    <mergeCell ref="A600:B600"/>
    <mergeCell ref="C600:E600"/>
    <mergeCell ref="A601:B601"/>
    <mergeCell ref="C601:E601"/>
    <mergeCell ref="A602:B602"/>
    <mergeCell ref="C602:E602"/>
    <mergeCell ref="A603:B603"/>
    <mergeCell ref="C603:E603"/>
    <mergeCell ref="A594:B594"/>
    <mergeCell ref="C594:E594"/>
    <mergeCell ref="A595:B595"/>
    <mergeCell ref="C595:E595"/>
    <mergeCell ref="A596:B596"/>
    <mergeCell ref="C596:E596"/>
    <mergeCell ref="A597:B597"/>
    <mergeCell ref="C597:E597"/>
    <mergeCell ref="A598:B598"/>
    <mergeCell ref="C598:E598"/>
    <mergeCell ref="A589:B589"/>
    <mergeCell ref="C589:E589"/>
    <mergeCell ref="A590:B590"/>
    <mergeCell ref="C590:E590"/>
    <mergeCell ref="A591:B591"/>
    <mergeCell ref="C591:E591"/>
    <mergeCell ref="A592:B592"/>
    <mergeCell ref="C592:E592"/>
    <mergeCell ref="A593:B593"/>
    <mergeCell ref="C593:E593"/>
    <mergeCell ref="A584:B584"/>
    <mergeCell ref="C584:E584"/>
    <mergeCell ref="A585:B585"/>
    <mergeCell ref="C585:E585"/>
    <mergeCell ref="A586:B586"/>
    <mergeCell ref="C586:E586"/>
    <mergeCell ref="A587:B587"/>
    <mergeCell ref="C587:E587"/>
    <mergeCell ref="A588:B588"/>
    <mergeCell ref="C588:E588"/>
    <mergeCell ref="A579:B579"/>
    <mergeCell ref="C579:E579"/>
    <mergeCell ref="A580:B580"/>
    <mergeCell ref="C580:E580"/>
    <mergeCell ref="A581:B581"/>
    <mergeCell ref="C581:E581"/>
    <mergeCell ref="A582:B582"/>
    <mergeCell ref="C582:E582"/>
    <mergeCell ref="A583:B583"/>
    <mergeCell ref="C583:E583"/>
    <mergeCell ref="A574:B574"/>
    <mergeCell ref="C574:E574"/>
    <mergeCell ref="A575:B575"/>
    <mergeCell ref="C575:E575"/>
    <mergeCell ref="A576:B576"/>
    <mergeCell ref="C576:E576"/>
    <mergeCell ref="A577:B577"/>
    <mergeCell ref="C577:E577"/>
    <mergeCell ref="A578:B578"/>
    <mergeCell ref="C578:E578"/>
    <mergeCell ref="A569:B569"/>
    <mergeCell ref="C569:E569"/>
    <mergeCell ref="A570:B570"/>
    <mergeCell ref="C570:E570"/>
    <mergeCell ref="A571:B571"/>
    <mergeCell ref="C571:E571"/>
    <mergeCell ref="A572:B572"/>
    <mergeCell ref="C572:E572"/>
    <mergeCell ref="A573:B573"/>
    <mergeCell ref="C573:E573"/>
    <mergeCell ref="A564:B564"/>
    <mergeCell ref="C564:E564"/>
    <mergeCell ref="A565:B565"/>
    <mergeCell ref="C565:E565"/>
    <mergeCell ref="A566:B566"/>
    <mergeCell ref="C566:E566"/>
    <mergeCell ref="A567:B567"/>
    <mergeCell ref="C567:E567"/>
    <mergeCell ref="A568:B568"/>
    <mergeCell ref="C568:E568"/>
    <mergeCell ref="A559:B559"/>
    <mergeCell ref="C559:E559"/>
    <mergeCell ref="A560:B560"/>
    <mergeCell ref="C560:E560"/>
    <mergeCell ref="A561:B561"/>
    <mergeCell ref="C561:E561"/>
    <mergeCell ref="A562:B562"/>
    <mergeCell ref="C562:E562"/>
    <mergeCell ref="A563:B563"/>
    <mergeCell ref="C563:E563"/>
    <mergeCell ref="A554:B554"/>
    <mergeCell ref="C554:E554"/>
    <mergeCell ref="A555:B555"/>
    <mergeCell ref="C555:E555"/>
    <mergeCell ref="A556:B556"/>
    <mergeCell ref="C556:E556"/>
    <mergeCell ref="A557:B557"/>
    <mergeCell ref="C557:E557"/>
    <mergeCell ref="A558:B558"/>
    <mergeCell ref="C558:E558"/>
    <mergeCell ref="A549:B549"/>
    <mergeCell ref="C549:E549"/>
    <mergeCell ref="A550:B550"/>
    <mergeCell ref="C550:E550"/>
    <mergeCell ref="A551:B551"/>
    <mergeCell ref="C551:E551"/>
    <mergeCell ref="A552:B552"/>
    <mergeCell ref="C552:E552"/>
    <mergeCell ref="A553:B553"/>
    <mergeCell ref="C553:E553"/>
    <mergeCell ref="A544:B544"/>
    <mergeCell ref="C544:E544"/>
    <mergeCell ref="A545:B545"/>
    <mergeCell ref="C545:E545"/>
    <mergeCell ref="A546:B546"/>
    <mergeCell ref="C546:E546"/>
    <mergeCell ref="A547:B547"/>
    <mergeCell ref="C547:E547"/>
    <mergeCell ref="A548:B548"/>
    <mergeCell ref="C548:E548"/>
    <mergeCell ref="A539:B539"/>
    <mergeCell ref="C539:E539"/>
    <mergeCell ref="A540:B540"/>
    <mergeCell ref="C540:E540"/>
    <mergeCell ref="A541:B541"/>
    <mergeCell ref="C541:E541"/>
    <mergeCell ref="A542:B542"/>
    <mergeCell ref="C542:E542"/>
    <mergeCell ref="A543:B543"/>
    <mergeCell ref="C543:E543"/>
    <mergeCell ref="A534:B534"/>
    <mergeCell ref="C534:E534"/>
    <mergeCell ref="A535:B535"/>
    <mergeCell ref="C535:E535"/>
    <mergeCell ref="A536:B536"/>
    <mergeCell ref="C536:E536"/>
    <mergeCell ref="A537:B537"/>
    <mergeCell ref="C537:E537"/>
    <mergeCell ref="A538:B538"/>
    <mergeCell ref="C538:E538"/>
    <mergeCell ref="A529:B529"/>
    <mergeCell ref="C529:E529"/>
    <mergeCell ref="A530:B530"/>
    <mergeCell ref="C530:E530"/>
    <mergeCell ref="A531:B531"/>
    <mergeCell ref="C531:E531"/>
    <mergeCell ref="A532:B532"/>
    <mergeCell ref="C532:E532"/>
    <mergeCell ref="A533:B533"/>
    <mergeCell ref="C533:E533"/>
    <mergeCell ref="A524:B524"/>
    <mergeCell ref="C524:E524"/>
    <mergeCell ref="A525:B525"/>
    <mergeCell ref="C525:E525"/>
    <mergeCell ref="A526:B526"/>
    <mergeCell ref="C526:E526"/>
    <mergeCell ref="A527:B527"/>
    <mergeCell ref="C527:E527"/>
    <mergeCell ref="A528:B528"/>
    <mergeCell ref="C528:E528"/>
    <mergeCell ref="A519:B519"/>
    <mergeCell ref="C519:E519"/>
    <mergeCell ref="A520:B520"/>
    <mergeCell ref="C520:E520"/>
    <mergeCell ref="A521:B521"/>
    <mergeCell ref="C521:E521"/>
    <mergeCell ref="A522:B522"/>
    <mergeCell ref="C522:E522"/>
    <mergeCell ref="A523:B523"/>
    <mergeCell ref="C523:E523"/>
    <mergeCell ref="A514:B514"/>
    <mergeCell ref="C514:E514"/>
    <mergeCell ref="A515:B515"/>
    <mergeCell ref="C515:E515"/>
    <mergeCell ref="A516:B516"/>
    <mergeCell ref="C516:E516"/>
    <mergeCell ref="A517:B517"/>
    <mergeCell ref="C517:E517"/>
    <mergeCell ref="A518:B518"/>
    <mergeCell ref="C518:E518"/>
    <mergeCell ref="A509:B509"/>
    <mergeCell ref="C509:E509"/>
    <mergeCell ref="A510:B510"/>
    <mergeCell ref="C510:E510"/>
    <mergeCell ref="A511:B511"/>
    <mergeCell ref="C511:E511"/>
    <mergeCell ref="A512:B512"/>
    <mergeCell ref="C512:E512"/>
    <mergeCell ref="A513:B513"/>
    <mergeCell ref="C513:E513"/>
    <mergeCell ref="A504:B504"/>
    <mergeCell ref="C504:E504"/>
    <mergeCell ref="A505:B505"/>
    <mergeCell ref="C505:E505"/>
    <mergeCell ref="A506:B506"/>
    <mergeCell ref="C506:E506"/>
    <mergeCell ref="A507:B507"/>
    <mergeCell ref="C507:E507"/>
    <mergeCell ref="A508:B508"/>
    <mergeCell ref="C508:E508"/>
    <mergeCell ref="A499:B499"/>
    <mergeCell ref="C499:E499"/>
    <mergeCell ref="A500:B500"/>
    <mergeCell ref="C500:E500"/>
    <mergeCell ref="A501:B501"/>
    <mergeCell ref="C501:E501"/>
    <mergeCell ref="A502:B502"/>
    <mergeCell ref="C502:E502"/>
    <mergeCell ref="A503:B503"/>
    <mergeCell ref="C503:E503"/>
    <mergeCell ref="A494:B494"/>
    <mergeCell ref="C494:E494"/>
    <mergeCell ref="A495:B495"/>
    <mergeCell ref="C495:E495"/>
    <mergeCell ref="A496:B496"/>
    <mergeCell ref="C496:E496"/>
    <mergeCell ref="A497:B497"/>
    <mergeCell ref="C497:E497"/>
    <mergeCell ref="A498:B498"/>
    <mergeCell ref="C498:E498"/>
    <mergeCell ref="A489:B489"/>
    <mergeCell ref="C489:E489"/>
    <mergeCell ref="A490:B490"/>
    <mergeCell ref="C490:E490"/>
    <mergeCell ref="A491:B491"/>
    <mergeCell ref="C491:E491"/>
    <mergeCell ref="A492:B492"/>
    <mergeCell ref="C492:E492"/>
    <mergeCell ref="A493:B493"/>
    <mergeCell ref="C493:E493"/>
    <mergeCell ref="A484:B484"/>
    <mergeCell ref="C484:E484"/>
    <mergeCell ref="A485:B485"/>
    <mergeCell ref="C485:E485"/>
    <mergeCell ref="A486:B486"/>
    <mergeCell ref="C486:E486"/>
    <mergeCell ref="A487:B487"/>
    <mergeCell ref="C487:E487"/>
    <mergeCell ref="A488:B488"/>
    <mergeCell ref="C488:E488"/>
    <mergeCell ref="A479:B479"/>
    <mergeCell ref="C479:E479"/>
    <mergeCell ref="A480:B480"/>
    <mergeCell ref="C480:E480"/>
    <mergeCell ref="A481:B481"/>
    <mergeCell ref="C481:E481"/>
    <mergeCell ref="A482:B482"/>
    <mergeCell ref="C482:E482"/>
    <mergeCell ref="A483:B483"/>
    <mergeCell ref="C483:E483"/>
    <mergeCell ref="A474:B474"/>
    <mergeCell ref="C474:E474"/>
    <mergeCell ref="A475:B475"/>
    <mergeCell ref="C475:E475"/>
    <mergeCell ref="A476:B476"/>
    <mergeCell ref="C476:E476"/>
    <mergeCell ref="A477:B477"/>
    <mergeCell ref="C477:E477"/>
    <mergeCell ref="A478:B478"/>
    <mergeCell ref="C478:E478"/>
    <mergeCell ref="A469:B469"/>
    <mergeCell ref="C469:E469"/>
    <mergeCell ref="A470:B470"/>
    <mergeCell ref="C470:E470"/>
    <mergeCell ref="A471:B471"/>
    <mergeCell ref="C471:E471"/>
    <mergeCell ref="A472:B472"/>
    <mergeCell ref="C472:E472"/>
    <mergeCell ref="A473:B473"/>
    <mergeCell ref="C473:E473"/>
    <mergeCell ref="A1:E1"/>
    <mergeCell ref="F1:I5"/>
    <mergeCell ref="J1:O1"/>
    <mergeCell ref="A2:E2"/>
    <mergeCell ref="J2:O5"/>
    <mergeCell ref="A3:E3"/>
    <mergeCell ref="A4:E4"/>
    <mergeCell ref="A5:E5"/>
    <mergeCell ref="A467:B467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2023-10-30T22:00:48Z</dcterms:modified>
</cp:coreProperties>
</file>